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0" windowWidth="23040" windowHeight="9120"/>
  </bookViews>
  <sheets>
    <sheet name="Electric Deferral" sheetId="6" r:id="rId1"/>
    <sheet name="Acerno_Cache_XXXXX" sheetId="10" state="veryHidden" r:id="rId2"/>
    <sheet name="Natural Gas Deferral" sheetId="8" r:id="rId3"/>
    <sheet name="Natural Gas by Schedule" sheetId="9" state="hidden" r:id="rId4"/>
    <sheet name="Accounting Balances" sheetId="3" r:id="rId5"/>
    <sheet name="Notes" sheetId="4" r:id="rId6"/>
    <sheet name="Electric by Schedule" sheetId="7" r:id="rId7"/>
  </sheets>
  <definedNames>
    <definedName name="_xlnm.Print_Area" localSheetId="4">'Accounting Balances'!$A$1:$G$200</definedName>
    <definedName name="_xlnm.Print_Area" localSheetId="6">'Electric by Schedule'!$A$1:$T$147</definedName>
    <definedName name="_xlnm.Print_Area" localSheetId="0">'Electric Deferral'!$A$1:$T$99</definedName>
    <definedName name="_xlnm.Print_Area" localSheetId="2">'Natural Gas Deferral'!$A$1:$T$101</definedName>
    <definedName name="_xlnm.Print_Area" localSheetId="5">Notes!$A$1:$K$33</definedName>
    <definedName name="_xlnm.Print_Titles" localSheetId="6">'Electric by Schedule'!$1:$8</definedName>
    <definedName name="_xlnm.Print_Titles" localSheetId="0">'Electric Deferral'!$1:$8</definedName>
    <definedName name="_xlnm.Print_Titles" localSheetId="3">'Natural Gas by Schedule'!$1:$8</definedName>
    <definedName name="_xlnm.Print_Titles" localSheetId="2">'Natural Gas Deferral'!$1:$8</definedName>
  </definedNames>
  <calcPr calcId="152511" calcMode="manual"/>
</workbook>
</file>

<file path=xl/calcChain.xml><?xml version="1.0" encoding="utf-8"?>
<calcChain xmlns="http://schemas.openxmlformats.org/spreadsheetml/2006/main">
  <c r="G49" i="7" l="1"/>
  <c r="F11" i="3"/>
  <c r="E95" i="8" l="1"/>
  <c r="F95" i="8"/>
  <c r="G95" i="8"/>
  <c r="H95" i="8"/>
  <c r="I95" i="8"/>
  <c r="J95" i="8"/>
  <c r="K95" i="8"/>
  <c r="L95" i="8"/>
  <c r="M95" i="8"/>
  <c r="N95" i="8"/>
  <c r="O95" i="8"/>
  <c r="D95" i="8"/>
  <c r="F49" i="8"/>
  <c r="G49" i="8"/>
  <c r="E49" i="8"/>
  <c r="J93" i="6" l="1"/>
  <c r="D93" i="6"/>
  <c r="E48" i="6"/>
  <c r="E93" i="6" s="1"/>
  <c r="F48" i="6" l="1"/>
  <c r="G48" i="6" l="1"/>
  <c r="G93" i="6" s="1"/>
  <c r="F93" i="6"/>
  <c r="E141" i="7" l="1"/>
  <c r="F141" i="7"/>
  <c r="D141" i="7"/>
  <c r="E95" i="7"/>
  <c r="F95" i="7"/>
  <c r="G95" i="7"/>
  <c r="G141" i="7" s="1"/>
  <c r="D95" i="7"/>
  <c r="J48" i="8" l="1"/>
  <c r="K48" i="8"/>
  <c r="L48" i="8"/>
  <c r="M48" i="8"/>
  <c r="N48" i="8"/>
  <c r="O48" i="8"/>
  <c r="F48" i="8"/>
  <c r="E48" i="8"/>
  <c r="D48" i="8"/>
  <c r="D17" i="8"/>
  <c r="D19" i="8" s="1"/>
  <c r="T11" i="6" l="1"/>
  <c r="I99" i="3" l="1"/>
  <c r="I100" i="3"/>
  <c r="I98" i="3"/>
  <c r="I95" i="3"/>
  <c r="I96" i="3"/>
  <c r="I94" i="3"/>
  <c r="F88" i="3"/>
  <c r="F84" i="3"/>
  <c r="F79" i="3"/>
  <c r="F75" i="3"/>
  <c r="F89" i="3" l="1"/>
  <c r="F80" i="3"/>
  <c r="J94" i="3"/>
  <c r="J98" i="3"/>
  <c r="R11" i="6" l="1"/>
  <c r="J95" i="3" l="1"/>
  <c r="F24" i="3"/>
  <c r="D88" i="8" l="1"/>
  <c r="D89" i="8" s="1"/>
  <c r="E88" i="8"/>
  <c r="E89" i="8" s="1"/>
  <c r="F88" i="8"/>
  <c r="F89" i="8" s="1"/>
  <c r="F90" i="8" s="1"/>
  <c r="G88" i="8"/>
  <c r="G89" i="8" s="1"/>
  <c r="G90" i="8" s="1"/>
  <c r="H88" i="8"/>
  <c r="H89" i="8" s="1"/>
  <c r="I88" i="8"/>
  <c r="I89" i="8" s="1"/>
  <c r="D80" i="8"/>
  <c r="E80" i="8"/>
  <c r="F80" i="8"/>
  <c r="G80" i="8"/>
  <c r="H80" i="8"/>
  <c r="I80" i="8"/>
  <c r="D67" i="8"/>
  <c r="D72" i="8" s="1"/>
  <c r="E67" i="8"/>
  <c r="F67" i="8"/>
  <c r="G67" i="8"/>
  <c r="H67" i="8"/>
  <c r="I67" i="8"/>
  <c r="D68" i="8"/>
  <c r="E68" i="8"/>
  <c r="F68" i="8"/>
  <c r="G68" i="8"/>
  <c r="H68" i="8"/>
  <c r="I68" i="8"/>
  <c r="D69" i="8"/>
  <c r="E69" i="8"/>
  <c r="F69" i="8"/>
  <c r="G69" i="8"/>
  <c r="H69" i="8"/>
  <c r="I69" i="8"/>
  <c r="D63" i="8"/>
  <c r="D65" i="8" s="1"/>
  <c r="E63" i="8"/>
  <c r="E65" i="8" s="1"/>
  <c r="F63" i="8"/>
  <c r="F65" i="8" s="1"/>
  <c r="G63" i="8"/>
  <c r="G65" i="8" s="1"/>
  <c r="H63" i="8"/>
  <c r="H65" i="8" s="1"/>
  <c r="I63" i="8"/>
  <c r="I65" i="8" s="1"/>
  <c r="D42" i="8"/>
  <c r="D43" i="8" s="1"/>
  <c r="E42" i="8"/>
  <c r="E43" i="8" s="1"/>
  <c r="E44" i="8" s="1"/>
  <c r="F42" i="8"/>
  <c r="F43" i="8" s="1"/>
  <c r="G42" i="8"/>
  <c r="G43" i="8" s="1"/>
  <c r="H42" i="8"/>
  <c r="H43" i="8" s="1"/>
  <c r="H44" i="8" s="1"/>
  <c r="I42" i="8"/>
  <c r="I43" i="8" s="1"/>
  <c r="D34" i="8"/>
  <c r="E34" i="8"/>
  <c r="F34" i="8"/>
  <c r="G34" i="8"/>
  <c r="H34" i="8"/>
  <c r="I34" i="8"/>
  <c r="D21" i="8"/>
  <c r="D26" i="8" s="1"/>
  <c r="E21" i="8"/>
  <c r="E26" i="8" s="1"/>
  <c r="F21" i="8"/>
  <c r="G21" i="8"/>
  <c r="H21" i="8"/>
  <c r="I21" i="8"/>
  <c r="D22" i="8"/>
  <c r="E22" i="8"/>
  <c r="F22" i="8"/>
  <c r="F26" i="8" s="1"/>
  <c r="F27" i="8" s="1"/>
  <c r="G22" i="8"/>
  <c r="H22" i="8"/>
  <c r="I22" i="8"/>
  <c r="D23" i="8"/>
  <c r="E23" i="8"/>
  <c r="F23" i="8"/>
  <c r="G23" i="8"/>
  <c r="H23" i="8"/>
  <c r="I23" i="8"/>
  <c r="E17" i="8"/>
  <c r="E19" i="8" s="1"/>
  <c r="F17" i="8"/>
  <c r="F19" i="8" s="1"/>
  <c r="G17" i="8"/>
  <c r="G19" i="8" s="1"/>
  <c r="H17" i="8"/>
  <c r="H19" i="8" s="1"/>
  <c r="I17" i="8"/>
  <c r="I19" i="8" s="1"/>
  <c r="H49" i="8"/>
  <c r="I49" i="8" s="1"/>
  <c r="F91" i="8" l="1"/>
  <c r="F72" i="8"/>
  <c r="D74" i="8"/>
  <c r="E72" i="8"/>
  <c r="E73" i="8" s="1"/>
  <c r="D73" i="8"/>
  <c r="D44" i="8"/>
  <c r="D45" i="8"/>
  <c r="E45" i="8"/>
  <c r="H72" i="8"/>
  <c r="H73" i="8" s="1"/>
  <c r="G26" i="8"/>
  <c r="F28" i="8"/>
  <c r="I72" i="8"/>
  <c r="I74" i="8" s="1"/>
  <c r="G72" i="8"/>
  <c r="G73" i="8" s="1"/>
  <c r="G91" i="8"/>
  <c r="I44" i="8"/>
  <c r="I45" i="8"/>
  <c r="H45" i="8"/>
  <c r="G28" i="8"/>
  <c r="H26" i="8"/>
  <c r="H27" i="8" s="1"/>
  <c r="G27" i="8"/>
  <c r="I26" i="8"/>
  <c r="I27" i="8" s="1"/>
  <c r="I91" i="8"/>
  <c r="I90" i="8"/>
  <c r="E91" i="8"/>
  <c r="E90" i="8"/>
  <c r="H91" i="8"/>
  <c r="H90" i="8"/>
  <c r="D91" i="8"/>
  <c r="D90" i="8"/>
  <c r="F74" i="8"/>
  <c r="F73" i="8"/>
  <c r="F45" i="8"/>
  <c r="F44" i="8"/>
  <c r="G45" i="8"/>
  <c r="G44" i="8"/>
  <c r="I28" i="8"/>
  <c r="E28" i="8"/>
  <c r="E27" i="8"/>
  <c r="H28" i="8"/>
  <c r="D28" i="8"/>
  <c r="D47" i="8" s="1"/>
  <c r="D27" i="8"/>
  <c r="H74" i="8" l="1"/>
  <c r="F93" i="8"/>
  <c r="F94" i="8" s="1"/>
  <c r="D93" i="8"/>
  <c r="D94" i="8" s="1"/>
  <c r="E47" i="8"/>
  <c r="F47" i="8"/>
  <c r="E74" i="8"/>
  <c r="E93" i="8" s="1"/>
  <c r="E94" i="8" s="1"/>
  <c r="K49" i="8"/>
  <c r="G74" i="8"/>
  <c r="G93" i="8" s="1"/>
  <c r="G94" i="8" s="1"/>
  <c r="H93" i="8"/>
  <c r="H94" i="8" s="1"/>
  <c r="H47" i="8"/>
  <c r="H48" i="8" s="1"/>
  <c r="I47" i="8"/>
  <c r="I48" i="8" s="1"/>
  <c r="D50" i="8"/>
  <c r="D96" i="8"/>
  <c r="I93" i="8"/>
  <c r="I94" i="8" s="1"/>
  <c r="I73" i="8"/>
  <c r="G47" i="8"/>
  <c r="G48" i="8" s="1"/>
  <c r="L49" i="8" l="1"/>
  <c r="D53" i="8"/>
  <c r="D51" i="8"/>
  <c r="D99" i="8"/>
  <c r="D97" i="8"/>
  <c r="M49" i="8" l="1"/>
  <c r="E50" i="8"/>
  <c r="E51" i="8" s="1"/>
  <c r="D101" i="8"/>
  <c r="E96" i="8"/>
  <c r="N49" i="8" l="1"/>
  <c r="E53" i="8"/>
  <c r="E99" i="8"/>
  <c r="E97" i="8"/>
  <c r="O49" i="8" l="1"/>
  <c r="F50" i="8"/>
  <c r="F51" i="8" s="1"/>
  <c r="E101" i="8"/>
  <c r="F96" i="8"/>
  <c r="F97" i="8" s="1"/>
  <c r="F99" i="8" l="1"/>
  <c r="G96" i="8" s="1"/>
  <c r="G97" i="8" s="1"/>
  <c r="F53" i="8"/>
  <c r="F101" i="8" l="1"/>
  <c r="G99" i="8"/>
  <c r="G50" i="8"/>
  <c r="G51" i="8" s="1"/>
  <c r="G53" i="8" l="1"/>
  <c r="H50" i="8" l="1"/>
  <c r="H51" i="8" s="1"/>
  <c r="G101" i="8"/>
  <c r="D86" i="6"/>
  <c r="E86" i="6"/>
  <c r="F86" i="6"/>
  <c r="G86" i="6"/>
  <c r="H86" i="6"/>
  <c r="I86" i="6"/>
  <c r="D84" i="6"/>
  <c r="D87" i="6" s="1"/>
  <c r="E84" i="6"/>
  <c r="F84" i="6"/>
  <c r="G84" i="6"/>
  <c r="H84" i="6"/>
  <c r="I84" i="6"/>
  <c r="D78" i="6"/>
  <c r="E78" i="6"/>
  <c r="F78" i="6"/>
  <c r="G78" i="6"/>
  <c r="H78" i="6"/>
  <c r="I78" i="6"/>
  <c r="D66" i="6"/>
  <c r="E66" i="6"/>
  <c r="F66" i="6"/>
  <c r="G66" i="6"/>
  <c r="H66" i="6"/>
  <c r="I66" i="6"/>
  <c r="D67" i="6"/>
  <c r="E67" i="6"/>
  <c r="F67" i="6"/>
  <c r="G67" i="6"/>
  <c r="H67" i="6"/>
  <c r="I67" i="6"/>
  <c r="D68" i="6"/>
  <c r="D70" i="6" s="1"/>
  <c r="E68" i="6"/>
  <c r="E70" i="6" s="1"/>
  <c r="F68" i="6"/>
  <c r="F70" i="6" s="1"/>
  <c r="G68" i="6"/>
  <c r="G70" i="6" s="1"/>
  <c r="H68" i="6"/>
  <c r="H70" i="6" s="1"/>
  <c r="I68" i="6"/>
  <c r="I70" i="6" s="1"/>
  <c r="D62" i="6"/>
  <c r="D64" i="6" s="1"/>
  <c r="E62" i="6"/>
  <c r="E64" i="6" s="1"/>
  <c r="F62" i="6"/>
  <c r="F64" i="6" s="1"/>
  <c r="G62" i="6"/>
  <c r="G64" i="6" s="1"/>
  <c r="H62" i="6"/>
  <c r="H64" i="6" s="1"/>
  <c r="I62" i="6"/>
  <c r="I64" i="6" s="1"/>
  <c r="D41" i="6"/>
  <c r="E41" i="6"/>
  <c r="F41" i="6"/>
  <c r="D39" i="6"/>
  <c r="E39" i="6"/>
  <c r="F39" i="6"/>
  <c r="D33" i="6"/>
  <c r="E33" i="6"/>
  <c r="F33" i="6"/>
  <c r="D21" i="6"/>
  <c r="E21" i="6"/>
  <c r="F21" i="6"/>
  <c r="D22" i="6"/>
  <c r="E22" i="6"/>
  <c r="F22" i="6"/>
  <c r="D23" i="6"/>
  <c r="D25" i="6" s="1"/>
  <c r="E23" i="6"/>
  <c r="E25" i="6" s="1"/>
  <c r="F23" i="6"/>
  <c r="F25" i="6" s="1"/>
  <c r="D17" i="6"/>
  <c r="D19" i="6" s="1"/>
  <c r="E17" i="6"/>
  <c r="E19" i="6" s="1"/>
  <c r="F17" i="6"/>
  <c r="F19" i="6" s="1"/>
  <c r="H48" i="6"/>
  <c r="G41" i="6"/>
  <c r="H41" i="6"/>
  <c r="I41" i="6"/>
  <c r="G39" i="6"/>
  <c r="H39" i="6"/>
  <c r="I39" i="6"/>
  <c r="G33" i="6"/>
  <c r="H33" i="6"/>
  <c r="I33" i="6"/>
  <c r="G21" i="6"/>
  <c r="H21" i="6"/>
  <c r="I21" i="6"/>
  <c r="G22" i="6"/>
  <c r="H22" i="6"/>
  <c r="I22" i="6"/>
  <c r="G23" i="6"/>
  <c r="G25" i="6" s="1"/>
  <c r="H23" i="6"/>
  <c r="H25" i="6" s="1"/>
  <c r="I23" i="6"/>
  <c r="I25" i="6" s="1"/>
  <c r="G17" i="6"/>
  <c r="G19" i="6" s="1"/>
  <c r="H17" i="6"/>
  <c r="H19" i="6" s="1"/>
  <c r="I17" i="6"/>
  <c r="I19" i="6" s="1"/>
  <c r="D26" i="6" l="1"/>
  <c r="I48" i="6"/>
  <c r="I93" i="6" s="1"/>
  <c r="H93" i="6"/>
  <c r="H53" i="8"/>
  <c r="E87" i="6"/>
  <c r="D71" i="6"/>
  <c r="D73" i="6" s="1"/>
  <c r="F42" i="6"/>
  <c r="F44" i="6" s="1"/>
  <c r="K48" i="6"/>
  <c r="F26" i="6"/>
  <c r="F28" i="6"/>
  <c r="F46" i="6" s="1"/>
  <c r="F47" i="6" s="1"/>
  <c r="D27" i="6"/>
  <c r="F27" i="6"/>
  <c r="H26" i="6"/>
  <c r="H27" i="6" s="1"/>
  <c r="D28" i="6"/>
  <c r="E26" i="6"/>
  <c r="I71" i="6"/>
  <c r="I72" i="6" s="1"/>
  <c r="I87" i="6"/>
  <c r="I88" i="6" s="1"/>
  <c r="H71" i="6"/>
  <c r="H73" i="6" s="1"/>
  <c r="H87" i="6"/>
  <c r="H88" i="6" s="1"/>
  <c r="G71" i="6"/>
  <c r="G72" i="6" s="1"/>
  <c r="I26" i="6"/>
  <c r="I27" i="6" s="1"/>
  <c r="G42" i="6"/>
  <c r="G44" i="6" s="1"/>
  <c r="G26" i="6"/>
  <c r="G27" i="6" s="1"/>
  <c r="I89" i="6"/>
  <c r="G87" i="6"/>
  <c r="G89" i="6" s="1"/>
  <c r="F87" i="6"/>
  <c r="F89" i="6" s="1"/>
  <c r="D88" i="6"/>
  <c r="D89" i="6"/>
  <c r="E88" i="6"/>
  <c r="E89" i="6"/>
  <c r="E71" i="6"/>
  <c r="E72" i="6" s="1"/>
  <c r="F71" i="6"/>
  <c r="F72" i="6" s="1"/>
  <c r="D42" i="6"/>
  <c r="I42" i="6"/>
  <c r="H42" i="6"/>
  <c r="E42" i="6"/>
  <c r="H72" i="6" l="1"/>
  <c r="G43" i="6"/>
  <c r="L48" i="6"/>
  <c r="K93" i="6"/>
  <c r="D72" i="6"/>
  <c r="F88" i="6"/>
  <c r="H28" i="6"/>
  <c r="I50" i="8"/>
  <c r="I51" i="8" s="1"/>
  <c r="I73" i="6"/>
  <c r="I91" i="6" s="1"/>
  <c r="I92" i="6" s="1"/>
  <c r="G73" i="6"/>
  <c r="G91" i="6" s="1"/>
  <c r="G92" i="6" s="1"/>
  <c r="F43" i="6"/>
  <c r="D44" i="6"/>
  <c r="D46" i="6" s="1"/>
  <c r="D47" i="6" s="1"/>
  <c r="D49" i="6" s="1"/>
  <c r="D43" i="6"/>
  <c r="E44" i="6"/>
  <c r="E43" i="6"/>
  <c r="G28" i="6"/>
  <c r="G46" i="6" s="1"/>
  <c r="G47" i="6" s="1"/>
  <c r="E27" i="6"/>
  <c r="E28" i="6"/>
  <c r="E46" i="6" s="1"/>
  <c r="H89" i="6"/>
  <c r="H91" i="6" s="1"/>
  <c r="H92" i="6" s="1"/>
  <c r="I28" i="6"/>
  <c r="G88" i="6"/>
  <c r="D91" i="6"/>
  <c r="E73" i="6"/>
  <c r="E91" i="6" s="1"/>
  <c r="F73" i="6"/>
  <c r="F91" i="6" s="1"/>
  <c r="F92" i="6" s="1"/>
  <c r="I44" i="6"/>
  <c r="I43" i="6"/>
  <c r="H44" i="6"/>
  <c r="H46" i="6" s="1"/>
  <c r="H47" i="6" s="1"/>
  <c r="H43" i="6"/>
  <c r="M48" i="6" l="1"/>
  <c r="L93" i="6"/>
  <c r="I53" i="8"/>
  <c r="D92" i="6"/>
  <c r="D94" i="6" s="1"/>
  <c r="D95" i="6" s="1"/>
  <c r="D50" i="6"/>
  <c r="D52" i="6"/>
  <c r="E47" i="6"/>
  <c r="E92" i="6"/>
  <c r="I46" i="6"/>
  <c r="N48" i="6" l="1"/>
  <c r="M93" i="6"/>
  <c r="D97" i="6"/>
  <c r="E94" i="6" s="1"/>
  <c r="E95" i="6" s="1"/>
  <c r="E49" i="6"/>
  <c r="E50" i="6" s="1"/>
  <c r="I47" i="6"/>
  <c r="O48" i="6" l="1"/>
  <c r="O93" i="6" s="1"/>
  <c r="N93" i="6"/>
  <c r="D99" i="6"/>
  <c r="E52" i="6"/>
  <c r="F49" i="6" s="1"/>
  <c r="F52" i="6" s="1"/>
  <c r="E97" i="6"/>
  <c r="G49" i="6" l="1"/>
  <c r="G50" i="6" s="1"/>
  <c r="F50" i="6"/>
  <c r="E99" i="6"/>
  <c r="F94" i="6"/>
  <c r="F95" i="6" s="1"/>
  <c r="G52" i="6" l="1"/>
  <c r="H49" i="6" s="1"/>
  <c r="H50" i="6" s="1"/>
  <c r="F97" i="6"/>
  <c r="H52" i="6" l="1"/>
  <c r="I49" i="6" s="1"/>
  <c r="I50" i="6" s="1"/>
  <c r="F99" i="6"/>
  <c r="G94" i="6"/>
  <c r="F144" i="3"/>
  <c r="F140" i="3"/>
  <c r="F136" i="3"/>
  <c r="F132" i="3"/>
  <c r="I52" i="6" l="1"/>
  <c r="G97" i="6"/>
  <c r="G99" i="6" s="1"/>
  <c r="G95" i="6"/>
  <c r="J96" i="3"/>
  <c r="F68" i="3"/>
  <c r="F64" i="3"/>
  <c r="F59" i="3"/>
  <c r="F55" i="3"/>
  <c r="F60" i="3" l="1"/>
  <c r="F69" i="3"/>
  <c r="J99" i="3"/>
  <c r="F199" i="3" l="1"/>
  <c r="F200" i="3" s="1"/>
  <c r="F194" i="3"/>
  <c r="F195" i="3" s="1"/>
  <c r="F189" i="3"/>
  <c r="F185" i="3"/>
  <c r="F180" i="3"/>
  <c r="F176" i="3"/>
  <c r="F165" i="3"/>
  <c r="F161" i="3"/>
  <c r="F156" i="3"/>
  <c r="F152" i="3"/>
  <c r="F124" i="3"/>
  <c r="F120" i="3"/>
  <c r="F116" i="3"/>
  <c r="F112" i="3"/>
  <c r="F101" i="3"/>
  <c r="F97" i="3"/>
  <c r="F46" i="3"/>
  <c r="F42" i="3"/>
  <c r="F37" i="3"/>
  <c r="F33" i="3"/>
  <c r="F20" i="3"/>
  <c r="F15" i="3"/>
  <c r="F157" i="3" l="1"/>
  <c r="F16" i="3"/>
  <c r="F190" i="3"/>
  <c r="F181" i="3"/>
  <c r="F47" i="3"/>
  <c r="F25" i="3"/>
  <c r="F166" i="3"/>
  <c r="F102" i="3"/>
  <c r="F38" i="3"/>
  <c r="P11" i="6"/>
  <c r="H96" i="8" l="1"/>
  <c r="J100" i="3"/>
  <c r="H97" i="8" l="1"/>
  <c r="H99" i="8"/>
  <c r="I96" i="8" s="1"/>
  <c r="I97" i="8" s="1"/>
  <c r="D39" i="7"/>
  <c r="G17" i="7" l="1"/>
  <c r="E7" i="6" l="1"/>
  <c r="L69" i="8" l="1"/>
  <c r="K69" i="8"/>
  <c r="J69" i="8"/>
  <c r="L42" i="8"/>
  <c r="J22" i="8"/>
  <c r="K21" i="8"/>
  <c r="J17" i="8"/>
  <c r="M17" i="8" l="1"/>
  <c r="M19" i="8" s="1"/>
  <c r="M69" i="8"/>
  <c r="N22" i="8"/>
  <c r="N69" i="8"/>
  <c r="O21" i="8"/>
  <c r="O69" i="8"/>
  <c r="L23" i="8"/>
  <c r="N34" i="8"/>
  <c r="L68" i="8"/>
  <c r="L80" i="8"/>
  <c r="M63" i="8"/>
  <c r="M65" i="8" s="1"/>
  <c r="M67" i="8"/>
  <c r="M23" i="8"/>
  <c r="K63" i="8"/>
  <c r="K65" i="8" s="1"/>
  <c r="O63" i="8"/>
  <c r="O65" i="8" s="1"/>
  <c r="K67" i="8"/>
  <c r="O67" i="8"/>
  <c r="L34" i="8"/>
  <c r="J68" i="8"/>
  <c r="N68" i="8"/>
  <c r="J80" i="8"/>
  <c r="N80" i="8"/>
  <c r="J88" i="8"/>
  <c r="J89" i="8" s="1"/>
  <c r="N88" i="8"/>
  <c r="N89" i="8" s="1"/>
  <c r="K17" i="8"/>
  <c r="K19" i="8" s="1"/>
  <c r="O17" i="8"/>
  <c r="O19" i="8" s="1"/>
  <c r="J23" i="8"/>
  <c r="N23" i="8"/>
  <c r="M21" i="8"/>
  <c r="L22" i="8"/>
  <c r="K23" i="8"/>
  <c r="O23" i="8"/>
  <c r="L17" i="8"/>
  <c r="L19" i="8" s="1"/>
  <c r="J21" i="8"/>
  <c r="J26" i="8" s="1"/>
  <c r="J27" i="8" s="1"/>
  <c r="N21" i="8"/>
  <c r="N26" i="8" s="1"/>
  <c r="M22" i="8"/>
  <c r="K34" i="8"/>
  <c r="O34" i="8"/>
  <c r="L63" i="8"/>
  <c r="L65" i="8" s="1"/>
  <c r="J67" i="8"/>
  <c r="N67" i="8"/>
  <c r="M68" i="8"/>
  <c r="K80" i="8"/>
  <c r="O80" i="8"/>
  <c r="J34" i="8"/>
  <c r="J19" i="8"/>
  <c r="N17" i="8"/>
  <c r="N19" i="8" s="1"/>
  <c r="L21" i="8"/>
  <c r="K22" i="8"/>
  <c r="K26" i="8" s="1"/>
  <c r="O22" i="8"/>
  <c r="M34" i="8"/>
  <c r="J63" i="8"/>
  <c r="J65" i="8" s="1"/>
  <c r="N63" i="8"/>
  <c r="N65" i="8" s="1"/>
  <c r="L67" i="8"/>
  <c r="K68" i="8"/>
  <c r="O68" i="8"/>
  <c r="M80" i="8"/>
  <c r="K88" i="8"/>
  <c r="K89" i="8" s="1"/>
  <c r="M42" i="8"/>
  <c r="M43" i="8" s="1"/>
  <c r="M44" i="8" s="1"/>
  <c r="K42" i="8"/>
  <c r="K43" i="8" s="1"/>
  <c r="O42" i="8"/>
  <c r="O43" i="8" s="1"/>
  <c r="O44" i="8" s="1"/>
  <c r="L88" i="8"/>
  <c r="L89" i="8" s="1"/>
  <c r="O88" i="8"/>
  <c r="O89" i="8" s="1"/>
  <c r="O90" i="8" s="1"/>
  <c r="L43" i="8"/>
  <c r="L44" i="8" s="1"/>
  <c r="M88" i="8"/>
  <c r="M89" i="8" s="1"/>
  <c r="M90" i="8" s="1"/>
  <c r="J42" i="8"/>
  <c r="J43" i="8" s="1"/>
  <c r="J44" i="8" s="1"/>
  <c r="N42" i="8"/>
  <c r="N43" i="8" s="1"/>
  <c r="N44" i="8" s="1"/>
  <c r="O26" i="8" l="1"/>
  <c r="O27" i="8" s="1"/>
  <c r="L72" i="8"/>
  <c r="L74" i="8" s="1"/>
  <c r="N91" i="8"/>
  <c r="O72" i="8"/>
  <c r="O74" i="8" s="1"/>
  <c r="M72" i="8"/>
  <c r="M74" i="8" s="1"/>
  <c r="K72" i="8"/>
  <c r="K73" i="8" s="1"/>
  <c r="J91" i="8"/>
  <c r="N72" i="8"/>
  <c r="N74" i="8" s="1"/>
  <c r="J72" i="8"/>
  <c r="J74" i="8" s="1"/>
  <c r="M26" i="8"/>
  <c r="M27" i="8" s="1"/>
  <c r="L26" i="8"/>
  <c r="L27" i="8" s="1"/>
  <c r="T17" i="8"/>
  <c r="N90" i="8"/>
  <c r="K91" i="8"/>
  <c r="N28" i="8"/>
  <c r="J28" i="8"/>
  <c r="N27" i="8"/>
  <c r="K28" i="8"/>
  <c r="K27" i="8"/>
  <c r="J90" i="8"/>
  <c r="K44" i="8"/>
  <c r="K45" i="8"/>
  <c r="K90" i="8"/>
  <c r="L90" i="8"/>
  <c r="L91" i="8"/>
  <c r="O45" i="8"/>
  <c r="O91" i="8"/>
  <c r="M91" i="8"/>
  <c r="L45" i="8"/>
  <c r="J45" i="8"/>
  <c r="N45" i="8"/>
  <c r="M45" i="8"/>
  <c r="O28" i="8" l="1"/>
  <c r="L73" i="8"/>
  <c r="O73" i="8"/>
  <c r="N93" i="8"/>
  <c r="N94" i="8" s="1"/>
  <c r="M73" i="8"/>
  <c r="N73" i="8"/>
  <c r="L28" i="8"/>
  <c r="L47" i="8" s="1"/>
  <c r="M93" i="8"/>
  <c r="M94" i="8" s="1"/>
  <c r="K74" i="8"/>
  <c r="K93" i="8" s="1"/>
  <c r="K94" i="8" s="1"/>
  <c r="J93" i="8"/>
  <c r="J94" i="8" s="1"/>
  <c r="M28" i="8"/>
  <c r="M47" i="8" s="1"/>
  <c r="J73" i="8"/>
  <c r="N47" i="8"/>
  <c r="K47" i="8"/>
  <c r="L93" i="8"/>
  <c r="L94" i="8" s="1"/>
  <c r="J47" i="8"/>
  <c r="O93" i="8"/>
  <c r="O94" i="8" s="1"/>
  <c r="O47" i="8"/>
  <c r="X93" i="8" l="1"/>
  <c r="V93" i="8"/>
  <c r="W93" i="8"/>
  <c r="X47" i="8"/>
  <c r="J50" i="8"/>
  <c r="J53" i="8" s="1"/>
  <c r="W47" i="8"/>
  <c r="V47" i="8" l="1"/>
  <c r="J51" i="8"/>
  <c r="H101" i="8"/>
  <c r="K50" i="8" l="1"/>
  <c r="K51" i="8" s="1"/>
  <c r="I99" i="8"/>
  <c r="I101" i="8" l="1"/>
  <c r="J96" i="8"/>
  <c r="J97" i="8" s="1"/>
  <c r="K53" i="8"/>
  <c r="J99" i="8" l="1"/>
  <c r="L50" i="8"/>
  <c r="L51" i="8" s="1"/>
  <c r="L53" i="8" l="1"/>
  <c r="K96" i="8"/>
  <c r="K97" i="8" s="1"/>
  <c r="J101" i="8"/>
  <c r="K99" i="8" l="1"/>
  <c r="M50" i="8"/>
  <c r="M51" i="8" s="1"/>
  <c r="M53" i="8" l="1"/>
  <c r="L96" i="8"/>
  <c r="L97" i="8" s="1"/>
  <c r="K101" i="8"/>
  <c r="L99" i="8" l="1"/>
  <c r="M96" i="8" s="1"/>
  <c r="M97" i="8" s="1"/>
  <c r="N50" i="8"/>
  <c r="N51" i="8" s="1"/>
  <c r="L101" i="8" l="1"/>
  <c r="N53" i="8"/>
  <c r="O50" i="8" s="1"/>
  <c r="O51" i="8" s="1"/>
  <c r="M99" i="8"/>
  <c r="N96" i="8" l="1"/>
  <c r="N97" i="8" s="1"/>
  <c r="M101" i="8"/>
  <c r="O53" i="8"/>
  <c r="N99" i="8" l="1"/>
  <c r="O96" i="8" l="1"/>
  <c r="O97" i="8" s="1"/>
  <c r="N101" i="8"/>
  <c r="O99" i="8" l="1"/>
  <c r="O101" i="8" s="1"/>
  <c r="K68" i="6"/>
  <c r="J68" i="6"/>
  <c r="J17" i="6"/>
  <c r="N68" i="6" l="1"/>
  <c r="M68" i="6"/>
  <c r="O68" i="6"/>
  <c r="M67" i="6"/>
  <c r="M78" i="6"/>
  <c r="M86" i="6"/>
  <c r="J62" i="6"/>
  <c r="J64" i="6" s="1"/>
  <c r="N62" i="6"/>
  <c r="N64" i="6" s="1"/>
  <c r="J66" i="6"/>
  <c r="N66" i="6"/>
  <c r="K67" i="6"/>
  <c r="O67" i="6"/>
  <c r="K78" i="6"/>
  <c r="K86" i="6"/>
  <c r="O86" i="6"/>
  <c r="L33" i="6"/>
  <c r="N33" i="6"/>
  <c r="M33" i="6"/>
  <c r="M62" i="6"/>
  <c r="M64" i="6" s="1"/>
  <c r="K66" i="6"/>
  <c r="O66" i="6"/>
  <c r="J67" i="6"/>
  <c r="N67" i="6"/>
  <c r="L78" i="6"/>
  <c r="L86" i="6"/>
  <c r="N17" i="6"/>
  <c r="N19" i="6" s="1"/>
  <c r="K33" i="6"/>
  <c r="O33" i="6"/>
  <c r="K62" i="6"/>
  <c r="K64" i="6" s="1"/>
  <c r="O62" i="6"/>
  <c r="O64" i="6" s="1"/>
  <c r="M66" i="6"/>
  <c r="J78" i="6"/>
  <c r="N78" i="6"/>
  <c r="N86" i="6"/>
  <c r="O78" i="6"/>
  <c r="J86" i="6"/>
  <c r="L23" i="6"/>
  <c r="L21" i="6"/>
  <c r="L22" i="6"/>
  <c r="M23" i="6"/>
  <c r="M21" i="6"/>
  <c r="M22" i="6"/>
  <c r="J23" i="6"/>
  <c r="N23" i="6"/>
  <c r="J21" i="6"/>
  <c r="N21" i="6"/>
  <c r="J22" i="6"/>
  <c r="N22" i="6"/>
  <c r="K17" i="6"/>
  <c r="K19" i="6" s="1"/>
  <c r="O17" i="6"/>
  <c r="O19" i="6" s="1"/>
  <c r="M17" i="6"/>
  <c r="M19" i="6" s="1"/>
  <c r="K23" i="6"/>
  <c r="O23" i="6"/>
  <c r="K21" i="6"/>
  <c r="O21" i="6"/>
  <c r="K22" i="6"/>
  <c r="O22" i="6"/>
  <c r="M39" i="6"/>
  <c r="L62" i="6"/>
  <c r="L64" i="6" s="1"/>
  <c r="L68" i="6"/>
  <c r="L66" i="6"/>
  <c r="L67" i="6"/>
  <c r="L17" i="6"/>
  <c r="L19" i="6" s="1"/>
  <c r="L41" i="6"/>
  <c r="M41" i="6"/>
  <c r="J41" i="6"/>
  <c r="N41" i="6"/>
  <c r="K41" i="6"/>
  <c r="O41" i="6"/>
  <c r="J39" i="6"/>
  <c r="N39" i="6"/>
  <c r="K39" i="6"/>
  <c r="O39" i="6"/>
  <c r="L39" i="6"/>
  <c r="L42" i="6" l="1"/>
  <c r="L43" i="6" s="1"/>
  <c r="N42" i="6"/>
  <c r="N43" i="6" s="1"/>
  <c r="K42" i="6"/>
  <c r="K43" i="6" s="1"/>
  <c r="M42" i="6"/>
  <c r="M43" i="6" s="1"/>
  <c r="O42" i="6"/>
  <c r="O43" i="6" s="1"/>
  <c r="J42" i="6"/>
  <c r="K44" i="6" l="1"/>
  <c r="J43" i="6"/>
  <c r="J33" i="6"/>
  <c r="J44" i="6" s="1"/>
  <c r="J19" i="6"/>
  <c r="O44" i="6"/>
  <c r="M44" i="6"/>
  <c r="N44" i="6"/>
  <c r="L44" i="6"/>
  <c r="J84" i="6" l="1"/>
  <c r="J87" i="6" s="1"/>
  <c r="J70" i="6"/>
  <c r="J71" i="6" s="1"/>
  <c r="J25" i="6"/>
  <c r="J26" i="6" s="1"/>
  <c r="J27" i="6" l="1"/>
  <c r="J28" i="6"/>
  <c r="J46" i="6" s="1"/>
  <c r="K84" i="6"/>
  <c r="K87" i="6" s="1"/>
  <c r="K70" i="6"/>
  <c r="K71" i="6" s="1"/>
  <c r="K25" i="6"/>
  <c r="K26" i="6" s="1"/>
  <c r="J72" i="6"/>
  <c r="J73" i="6"/>
  <c r="J88" i="6"/>
  <c r="J89" i="6"/>
  <c r="J47" i="6" l="1"/>
  <c r="V46" i="6" s="1"/>
  <c r="L84" i="6"/>
  <c r="L87" i="6" s="1"/>
  <c r="L70" i="6"/>
  <c r="L71" i="6" s="1"/>
  <c r="L25" i="6"/>
  <c r="L26" i="6" s="1"/>
  <c r="K72" i="6"/>
  <c r="K73" i="6"/>
  <c r="K27" i="6"/>
  <c r="K28" i="6"/>
  <c r="K46" i="6" s="1"/>
  <c r="J91" i="6"/>
  <c r="K88" i="6"/>
  <c r="K89" i="6"/>
  <c r="J92" i="6" l="1"/>
  <c r="V91" i="6" s="1"/>
  <c r="K47" i="6"/>
  <c r="W46" i="6" s="1"/>
  <c r="M84" i="6"/>
  <c r="M87" i="6" s="1"/>
  <c r="M70" i="6"/>
  <c r="M71" i="6" s="1"/>
  <c r="M25" i="6"/>
  <c r="M26" i="6" s="1"/>
  <c r="L27" i="6"/>
  <c r="L28" i="6"/>
  <c r="L46" i="6" s="1"/>
  <c r="K91" i="6"/>
  <c r="L72" i="6"/>
  <c r="L73" i="6"/>
  <c r="L88" i="6"/>
  <c r="L89" i="6"/>
  <c r="H94" i="6"/>
  <c r="H95" i="6" s="1"/>
  <c r="K92" i="6" l="1"/>
  <c r="W91" i="6" s="1"/>
  <c r="L47" i="6"/>
  <c r="X46" i="6" s="1"/>
  <c r="L91" i="6"/>
  <c r="M27" i="6"/>
  <c r="M28" i="6"/>
  <c r="M46" i="6" s="1"/>
  <c r="M47" i="6" s="1"/>
  <c r="M72" i="6"/>
  <c r="M73" i="6"/>
  <c r="N84" i="6"/>
  <c r="N87" i="6" s="1"/>
  <c r="N70" i="6"/>
  <c r="N71" i="6" s="1"/>
  <c r="N25" i="6"/>
  <c r="N26" i="6" s="1"/>
  <c r="M88" i="6"/>
  <c r="M89" i="6"/>
  <c r="L92" i="6" l="1"/>
  <c r="X91" i="6" s="1"/>
  <c r="O84" i="6"/>
  <c r="O87" i="6" s="1"/>
  <c r="O70" i="6"/>
  <c r="O71" i="6" s="1"/>
  <c r="O25" i="6"/>
  <c r="O26" i="6" s="1"/>
  <c r="N72" i="6"/>
  <c r="N73" i="6"/>
  <c r="M91" i="6"/>
  <c r="M92" i="6" s="1"/>
  <c r="N88" i="6"/>
  <c r="N89" i="6"/>
  <c r="H97" i="6"/>
  <c r="I94" i="6" s="1"/>
  <c r="I95" i="6" s="1"/>
  <c r="N27" i="6"/>
  <c r="N28" i="6"/>
  <c r="N46" i="6" s="1"/>
  <c r="N47" i="6" s="1"/>
  <c r="O27" i="6" l="1"/>
  <c r="O28" i="6"/>
  <c r="O46" i="6" s="1"/>
  <c r="O47" i="6" s="1"/>
  <c r="N91" i="6"/>
  <c r="N92" i="6" s="1"/>
  <c r="O72" i="6"/>
  <c r="O73" i="6"/>
  <c r="O88" i="6"/>
  <c r="O89" i="6"/>
  <c r="O91" i="6" l="1"/>
  <c r="O92" i="6" s="1"/>
  <c r="H99" i="6"/>
  <c r="I97" i="6"/>
  <c r="J94" i="6" l="1"/>
  <c r="I99" i="6" l="1"/>
  <c r="J49" i="6"/>
  <c r="J52" i="6" s="1"/>
  <c r="J95" i="6"/>
  <c r="J97" i="6"/>
  <c r="J99" i="6" l="1"/>
  <c r="K49" i="6"/>
  <c r="J50" i="6"/>
  <c r="K94" i="6"/>
  <c r="K50" i="6" l="1"/>
  <c r="K52" i="6"/>
  <c r="K95" i="6"/>
  <c r="K97" i="6"/>
  <c r="L94" i="6" l="1"/>
  <c r="L95" i="6" s="1"/>
  <c r="K99" i="6"/>
  <c r="L49" i="6"/>
  <c r="L52" i="6" s="1"/>
  <c r="M49" i="6" l="1"/>
  <c r="L50" i="6"/>
  <c r="L97" i="6"/>
  <c r="M50" i="6" l="1"/>
  <c r="M94" i="6"/>
  <c r="M97" i="6" s="1"/>
  <c r="M52" i="6"/>
  <c r="L99" i="6"/>
  <c r="N94" i="6" l="1"/>
  <c r="N97" i="6" s="1"/>
  <c r="M99" i="6"/>
  <c r="N49" i="6"/>
  <c r="M95" i="6"/>
  <c r="O94" i="6" l="1"/>
  <c r="N50" i="6"/>
  <c r="N52" i="6"/>
  <c r="N95" i="6"/>
  <c r="N99" i="6" l="1"/>
  <c r="O49" i="6"/>
  <c r="O95" i="6"/>
  <c r="O97" i="6"/>
  <c r="O50" i="6" l="1"/>
  <c r="O52" i="6"/>
  <c r="O99" i="6" s="1"/>
  <c r="P128" i="7" l="1"/>
  <c r="Q128" i="7"/>
  <c r="R128" i="7"/>
  <c r="S128" i="7"/>
  <c r="T128" i="7"/>
  <c r="P129" i="7"/>
  <c r="Q129" i="7"/>
  <c r="R129" i="7"/>
  <c r="S129" i="7"/>
  <c r="T129" i="7"/>
  <c r="P130" i="7"/>
  <c r="Q130" i="7"/>
  <c r="R130" i="7"/>
  <c r="S130" i="7"/>
  <c r="T130" i="7"/>
  <c r="P103" i="7"/>
  <c r="Q103" i="7"/>
  <c r="R103" i="7"/>
  <c r="S103" i="7"/>
  <c r="T103" i="7"/>
  <c r="P104" i="7"/>
  <c r="Q104" i="7"/>
  <c r="R104" i="7"/>
  <c r="S104" i="7"/>
  <c r="T104" i="7"/>
  <c r="P105" i="7"/>
  <c r="Q105" i="7"/>
  <c r="R105" i="7"/>
  <c r="S105" i="7"/>
  <c r="T105" i="7"/>
  <c r="P106" i="7"/>
  <c r="Q106" i="7"/>
  <c r="R106" i="7"/>
  <c r="S106" i="7"/>
  <c r="T106" i="7"/>
  <c r="P82" i="7"/>
  <c r="Q82" i="7"/>
  <c r="R82" i="7"/>
  <c r="S82" i="7"/>
  <c r="T82" i="7"/>
  <c r="P83" i="7"/>
  <c r="Q83" i="7"/>
  <c r="R83" i="7"/>
  <c r="S83" i="7"/>
  <c r="T83" i="7"/>
  <c r="P84" i="7"/>
  <c r="Q84" i="7"/>
  <c r="R84" i="7"/>
  <c r="S84" i="7"/>
  <c r="T84" i="7"/>
  <c r="P57" i="7"/>
  <c r="Q57" i="7"/>
  <c r="R57" i="7"/>
  <c r="S57" i="7"/>
  <c r="T57" i="7"/>
  <c r="P58" i="7"/>
  <c r="Q58" i="7"/>
  <c r="R58" i="7"/>
  <c r="S58" i="7"/>
  <c r="S69" i="7" s="1"/>
  <c r="T58" i="7"/>
  <c r="P59" i="7"/>
  <c r="Q59" i="7"/>
  <c r="R59" i="7"/>
  <c r="S59" i="7"/>
  <c r="T59" i="7"/>
  <c r="P60" i="7"/>
  <c r="P68" i="7" s="1"/>
  <c r="Q60" i="7"/>
  <c r="R60" i="7"/>
  <c r="S60" i="7"/>
  <c r="T60" i="7"/>
  <c r="P36" i="7"/>
  <c r="Q36" i="7"/>
  <c r="R36" i="7"/>
  <c r="S36" i="7"/>
  <c r="T36" i="7"/>
  <c r="P37" i="7"/>
  <c r="Q37" i="7"/>
  <c r="R37" i="7"/>
  <c r="S37" i="7"/>
  <c r="T37" i="7"/>
  <c r="P38" i="7"/>
  <c r="Q38" i="7"/>
  <c r="R38" i="7"/>
  <c r="S38" i="7"/>
  <c r="T38" i="7"/>
  <c r="P11" i="7"/>
  <c r="Q11" i="7"/>
  <c r="R11" i="7"/>
  <c r="S11" i="7"/>
  <c r="T11" i="7"/>
  <c r="P12" i="7"/>
  <c r="Q12" i="7"/>
  <c r="R12" i="7"/>
  <c r="S12" i="7"/>
  <c r="T12" i="7"/>
  <c r="P13" i="7"/>
  <c r="Q13" i="7"/>
  <c r="R13" i="7"/>
  <c r="S13" i="7"/>
  <c r="T13" i="7"/>
  <c r="P14" i="7"/>
  <c r="Q14" i="7"/>
  <c r="R14" i="7"/>
  <c r="S14" i="7"/>
  <c r="T14" i="7"/>
  <c r="P94" i="6"/>
  <c r="S96" i="8"/>
  <c r="P96" i="8"/>
  <c r="Q96" i="8"/>
  <c r="R96" i="8"/>
  <c r="T96" i="8"/>
  <c r="S50" i="8"/>
  <c r="P50" i="8"/>
  <c r="P94" i="8"/>
  <c r="P24" i="6"/>
  <c r="Q24" i="6" s="1"/>
  <c r="R24" i="6" s="1"/>
  <c r="R69" i="6" s="1"/>
  <c r="P82" i="8"/>
  <c r="Q82" i="8"/>
  <c r="R82" i="8"/>
  <c r="S82" i="8"/>
  <c r="T82" i="8"/>
  <c r="P83" i="8"/>
  <c r="Q83" i="8"/>
  <c r="R83" i="8"/>
  <c r="S83" i="8"/>
  <c r="T83" i="8"/>
  <c r="P84" i="8"/>
  <c r="Q84" i="8"/>
  <c r="R84" i="8"/>
  <c r="S84" i="8"/>
  <c r="T84" i="8"/>
  <c r="P57" i="8"/>
  <c r="Q57" i="8"/>
  <c r="R57" i="8"/>
  <c r="S57" i="8"/>
  <c r="T57" i="8"/>
  <c r="P58" i="8"/>
  <c r="Q58" i="8"/>
  <c r="R58" i="8"/>
  <c r="S58" i="8"/>
  <c r="T58" i="8"/>
  <c r="P59" i="8"/>
  <c r="Q59" i="8"/>
  <c r="R59" i="8"/>
  <c r="S59" i="8"/>
  <c r="T59" i="8"/>
  <c r="P60" i="8"/>
  <c r="Q60" i="8"/>
  <c r="R60" i="8"/>
  <c r="S60" i="8"/>
  <c r="T60" i="8"/>
  <c r="P36" i="8"/>
  <c r="Q36" i="8"/>
  <c r="R36" i="8"/>
  <c r="S36" i="8"/>
  <c r="T36" i="8"/>
  <c r="P37" i="8"/>
  <c r="Q37" i="8"/>
  <c r="R37" i="8"/>
  <c r="S37" i="8"/>
  <c r="T37" i="8"/>
  <c r="P38" i="8"/>
  <c r="Q38" i="8"/>
  <c r="R38" i="8"/>
  <c r="S38" i="8"/>
  <c r="T38" i="8"/>
  <c r="P11" i="8"/>
  <c r="Q11" i="8"/>
  <c r="R11" i="8"/>
  <c r="S11" i="8"/>
  <c r="T11" i="8"/>
  <c r="P12" i="8"/>
  <c r="Q12" i="8"/>
  <c r="R12" i="8"/>
  <c r="S12" i="8"/>
  <c r="T12" i="8"/>
  <c r="P13" i="8"/>
  <c r="Q13" i="8"/>
  <c r="R13" i="8"/>
  <c r="S13" i="8"/>
  <c r="T13" i="8"/>
  <c r="P14" i="8"/>
  <c r="Q14" i="8"/>
  <c r="R14" i="8"/>
  <c r="S14" i="8"/>
  <c r="T14" i="8"/>
  <c r="P80" i="6"/>
  <c r="Q80" i="6"/>
  <c r="R80" i="6"/>
  <c r="S80" i="6"/>
  <c r="T80" i="6"/>
  <c r="P81" i="6"/>
  <c r="Q81" i="6"/>
  <c r="R81" i="6"/>
  <c r="S81" i="6"/>
  <c r="T81" i="6"/>
  <c r="P82" i="6"/>
  <c r="Q82" i="6"/>
  <c r="R82" i="6"/>
  <c r="S82" i="6"/>
  <c r="T82" i="6"/>
  <c r="Q78" i="6"/>
  <c r="P78" i="6"/>
  <c r="T56" i="6"/>
  <c r="S57" i="6"/>
  <c r="S56" i="6"/>
  <c r="P56" i="6"/>
  <c r="Q56" i="6"/>
  <c r="R56" i="6"/>
  <c r="P57" i="6"/>
  <c r="Q57" i="6"/>
  <c r="R57" i="6"/>
  <c r="T57" i="6"/>
  <c r="P58" i="6"/>
  <c r="Q58" i="6"/>
  <c r="R58" i="6"/>
  <c r="S58" i="6"/>
  <c r="T58" i="6"/>
  <c r="P59" i="6"/>
  <c r="Q59" i="6"/>
  <c r="R59" i="6"/>
  <c r="S59" i="6"/>
  <c r="T59" i="6"/>
  <c r="P62" i="6"/>
  <c r="T12" i="6"/>
  <c r="T13" i="6"/>
  <c r="T14" i="6"/>
  <c r="T17" i="6"/>
  <c r="S35" i="6"/>
  <c r="P35" i="6"/>
  <c r="Q35" i="6"/>
  <c r="R35" i="6"/>
  <c r="T35" i="6"/>
  <c r="P36" i="6"/>
  <c r="Q36" i="6"/>
  <c r="R36" i="6"/>
  <c r="S36" i="6"/>
  <c r="T36" i="6"/>
  <c r="P37" i="6"/>
  <c r="Q37" i="6"/>
  <c r="R37" i="6"/>
  <c r="S37" i="6"/>
  <c r="T37" i="6"/>
  <c r="T68" i="7" l="1"/>
  <c r="Q67" i="7"/>
  <c r="P114" i="7"/>
  <c r="P22" i="7"/>
  <c r="R23" i="7"/>
  <c r="P23" i="7"/>
  <c r="R69" i="7"/>
  <c r="S68" i="7"/>
  <c r="R21" i="7"/>
  <c r="Q69" i="7"/>
  <c r="T22" i="7"/>
  <c r="Q21" i="7"/>
  <c r="T23" i="7"/>
  <c r="Q22" i="7"/>
  <c r="Q66" i="6"/>
  <c r="T68" i="6"/>
  <c r="T67" i="6"/>
  <c r="P67" i="6"/>
  <c r="S68" i="6"/>
  <c r="T23" i="8"/>
  <c r="P23" i="8"/>
  <c r="S69" i="8"/>
  <c r="Q22" i="8"/>
  <c r="R21" i="8"/>
  <c r="S23" i="8"/>
  <c r="T68" i="8"/>
  <c r="P68" i="8"/>
  <c r="Q67" i="8"/>
  <c r="R69" i="8"/>
  <c r="Q115" i="7"/>
  <c r="R114" i="7"/>
  <c r="S113" i="7"/>
  <c r="R115" i="7"/>
  <c r="S114" i="7"/>
  <c r="Q114" i="7"/>
  <c r="R113" i="7"/>
  <c r="S115" i="7"/>
  <c r="T114" i="7"/>
  <c r="Q113" i="7"/>
  <c r="T113" i="7"/>
  <c r="T115" i="7"/>
  <c r="P115" i="7"/>
  <c r="P113" i="7"/>
  <c r="R68" i="7"/>
  <c r="S67" i="7"/>
  <c r="Q68" i="7"/>
  <c r="R67" i="7"/>
  <c r="T69" i="7"/>
  <c r="P69" i="7"/>
  <c r="T67" i="7"/>
  <c r="P67" i="7"/>
  <c r="S23" i="7"/>
  <c r="S22" i="7"/>
  <c r="Q23" i="7"/>
  <c r="R22" i="7"/>
  <c r="S21" i="7"/>
  <c r="T21" i="7"/>
  <c r="P21" i="7"/>
  <c r="Q67" i="6"/>
  <c r="R66" i="6"/>
  <c r="T23" i="6"/>
  <c r="S67" i="6"/>
  <c r="T66" i="6"/>
  <c r="P66" i="6"/>
  <c r="P68" i="6"/>
  <c r="Q68" i="6"/>
  <c r="R67" i="6"/>
  <c r="S66" i="6"/>
  <c r="T22" i="8"/>
  <c r="P22" i="8"/>
  <c r="Q21" i="8"/>
  <c r="S68" i="8"/>
  <c r="T67" i="8"/>
  <c r="P67" i="8"/>
  <c r="R68" i="6"/>
  <c r="R70" i="6" s="1"/>
  <c r="T21" i="6"/>
  <c r="Q23" i="8"/>
  <c r="T69" i="8"/>
  <c r="P69" i="8"/>
  <c r="R22" i="8"/>
  <c r="S21" i="8"/>
  <c r="Q68" i="8"/>
  <c r="R67" i="8"/>
  <c r="R23" i="8"/>
  <c r="Q69" i="8"/>
  <c r="S22" i="8"/>
  <c r="T21" i="8"/>
  <c r="P21" i="8"/>
  <c r="R68" i="8"/>
  <c r="S67" i="8"/>
  <c r="T22" i="6"/>
  <c r="P69" i="6"/>
  <c r="Q69" i="6"/>
  <c r="S24" i="6"/>
  <c r="S69" i="6" s="1"/>
  <c r="S70" i="6" l="1"/>
  <c r="P70" i="6"/>
  <c r="Q70" i="6"/>
  <c r="T24" i="6"/>
  <c r="T25" i="6" l="1"/>
  <c r="T69" i="6"/>
  <c r="T70" i="6" s="1"/>
  <c r="P19" i="6"/>
  <c r="S13" i="6"/>
  <c r="S21" i="6" s="1"/>
  <c r="S14" i="6"/>
  <c r="S22" i="6" s="1"/>
  <c r="R13" i="6"/>
  <c r="R21" i="6" s="1"/>
  <c r="R14" i="6"/>
  <c r="R22" i="6" s="1"/>
  <c r="Q13" i="6"/>
  <c r="Q21" i="6" s="1"/>
  <c r="Q14" i="6"/>
  <c r="Q22" i="6" s="1"/>
  <c r="P13" i="6"/>
  <c r="P21" i="6" s="1"/>
  <c r="P14" i="6"/>
  <c r="P22" i="6" s="1"/>
  <c r="P33" i="6" l="1"/>
  <c r="P31" i="6"/>
  <c r="P32" i="6" l="1"/>
  <c r="P44" i="6" l="1"/>
  <c r="S17" i="6"/>
  <c r="R17" i="6"/>
  <c r="Q17" i="6"/>
  <c r="P12" i="6"/>
  <c r="P23" i="6" s="1"/>
  <c r="P25" i="6" s="1"/>
  <c r="Q12" i="6"/>
  <c r="Q23" i="6" s="1"/>
  <c r="Q25" i="6" s="1"/>
  <c r="Q11" i="6"/>
  <c r="R12" i="6"/>
  <c r="R23" i="6" s="1"/>
  <c r="R25" i="6" s="1"/>
  <c r="S12" i="6"/>
  <c r="S23" i="6" s="1"/>
  <c r="S25" i="6" s="1"/>
  <c r="S11" i="6"/>
  <c r="P49" i="6" l="1"/>
  <c r="S19" i="8" l="1"/>
  <c r="S17" i="8"/>
  <c r="S18" i="8" l="1"/>
  <c r="T124" i="7" l="1"/>
  <c r="S124" i="7"/>
  <c r="R124" i="7"/>
  <c r="Q124" i="7"/>
  <c r="C101" i="9" l="1"/>
  <c r="C96" i="9"/>
  <c r="B96" i="9"/>
  <c r="K95" i="9"/>
  <c r="L95" i="9" s="1"/>
  <c r="M95" i="9" s="1"/>
  <c r="N95" i="9" s="1"/>
  <c r="O95" i="9" s="1"/>
  <c r="I95" i="9"/>
  <c r="J95" i="9" s="1"/>
  <c r="H95" i="9"/>
  <c r="F95" i="9"/>
  <c r="E95" i="9"/>
  <c r="C95" i="9"/>
  <c r="C94" i="9"/>
  <c r="B94" i="9"/>
  <c r="B91" i="9"/>
  <c r="E90" i="9"/>
  <c r="E89" i="9"/>
  <c r="B89" i="9"/>
  <c r="F88" i="9"/>
  <c r="F89" i="9" s="1"/>
  <c r="D88" i="9"/>
  <c r="D89" i="9" s="1"/>
  <c r="B88" i="9"/>
  <c r="H87" i="9"/>
  <c r="H88" i="9" s="1"/>
  <c r="H89" i="9" s="1"/>
  <c r="F87" i="9"/>
  <c r="G87" i="9" s="1"/>
  <c r="G88" i="9" s="1"/>
  <c r="G89" i="9" s="1"/>
  <c r="E87" i="9"/>
  <c r="E88" i="9" s="1"/>
  <c r="B87" i="9"/>
  <c r="C84" i="9"/>
  <c r="B84" i="9"/>
  <c r="C83" i="9"/>
  <c r="B83" i="9"/>
  <c r="C82" i="9"/>
  <c r="B82" i="9"/>
  <c r="S80" i="9"/>
  <c r="S79" i="9" s="1"/>
  <c r="O80" i="9"/>
  <c r="N80" i="9"/>
  <c r="M80" i="9"/>
  <c r="L80" i="9"/>
  <c r="K80" i="9"/>
  <c r="J80" i="9"/>
  <c r="R80" i="9" s="1"/>
  <c r="R79" i="9" s="1"/>
  <c r="I80" i="9"/>
  <c r="H80" i="9"/>
  <c r="Q80" i="9" s="1"/>
  <c r="Q79" i="9" s="1"/>
  <c r="G80" i="9"/>
  <c r="F80" i="9"/>
  <c r="E80" i="9"/>
  <c r="E91" i="9" s="1"/>
  <c r="D80" i="9"/>
  <c r="T80" i="9" s="1"/>
  <c r="B80" i="9"/>
  <c r="T79" i="9"/>
  <c r="C79" i="9"/>
  <c r="B79" i="9"/>
  <c r="T78" i="9"/>
  <c r="S78" i="9"/>
  <c r="R78" i="9"/>
  <c r="Q78" i="9"/>
  <c r="P78" i="9"/>
  <c r="C78" i="9"/>
  <c r="B78" i="9"/>
  <c r="B77" i="9"/>
  <c r="B74" i="9"/>
  <c r="J73" i="9"/>
  <c r="D73" i="9"/>
  <c r="N72" i="9"/>
  <c r="N73" i="9" s="1"/>
  <c r="J72" i="9"/>
  <c r="F72" i="9"/>
  <c r="F73" i="9" s="1"/>
  <c r="B72" i="9"/>
  <c r="O69" i="9"/>
  <c r="N69" i="9"/>
  <c r="M69" i="9"/>
  <c r="L69" i="9"/>
  <c r="K69" i="9"/>
  <c r="J69" i="9"/>
  <c r="I69" i="9"/>
  <c r="H69" i="9"/>
  <c r="G69" i="9"/>
  <c r="F69" i="9"/>
  <c r="E69" i="9"/>
  <c r="D69" i="9"/>
  <c r="C69" i="9"/>
  <c r="B69" i="9"/>
  <c r="O68" i="9"/>
  <c r="N68" i="9"/>
  <c r="M68" i="9"/>
  <c r="L68" i="9"/>
  <c r="K68" i="9"/>
  <c r="J68" i="9"/>
  <c r="I68" i="9"/>
  <c r="I72" i="9" s="1"/>
  <c r="I73" i="9" s="1"/>
  <c r="H68" i="9"/>
  <c r="G68" i="9"/>
  <c r="F68" i="9"/>
  <c r="E68" i="9"/>
  <c r="D68" i="9"/>
  <c r="B68" i="9"/>
  <c r="O67" i="9"/>
  <c r="O72" i="9" s="1"/>
  <c r="N67" i="9"/>
  <c r="M67" i="9"/>
  <c r="L67" i="9"/>
  <c r="L72" i="9" s="1"/>
  <c r="K67" i="9"/>
  <c r="K72" i="9" s="1"/>
  <c r="K73" i="9" s="1"/>
  <c r="J67" i="9"/>
  <c r="I67" i="9"/>
  <c r="H67" i="9"/>
  <c r="H72" i="9" s="1"/>
  <c r="G67" i="9"/>
  <c r="G72" i="9" s="1"/>
  <c r="G73" i="9" s="1"/>
  <c r="F67" i="9"/>
  <c r="E67" i="9"/>
  <c r="E72" i="9" s="1"/>
  <c r="E73" i="9" s="1"/>
  <c r="D67" i="9"/>
  <c r="D72" i="9" s="1"/>
  <c r="C67" i="9"/>
  <c r="B67" i="9"/>
  <c r="O65" i="9"/>
  <c r="K65" i="9"/>
  <c r="K74" i="9" s="1"/>
  <c r="J65" i="9"/>
  <c r="J74" i="9" s="1"/>
  <c r="G65" i="9"/>
  <c r="F65" i="9"/>
  <c r="B65" i="9"/>
  <c r="C64" i="9"/>
  <c r="B64" i="9"/>
  <c r="O63" i="9"/>
  <c r="N63" i="9"/>
  <c r="N65" i="9" s="1"/>
  <c r="M63" i="9"/>
  <c r="L63" i="9"/>
  <c r="L65" i="9" s="1"/>
  <c r="L74" i="9" s="1"/>
  <c r="K63" i="9"/>
  <c r="J63" i="9"/>
  <c r="I63" i="9"/>
  <c r="I65" i="9" s="1"/>
  <c r="H63" i="9"/>
  <c r="H65" i="9" s="1"/>
  <c r="H74" i="9" s="1"/>
  <c r="G63" i="9"/>
  <c r="F63" i="9"/>
  <c r="E63" i="9"/>
  <c r="E65" i="9" s="1"/>
  <c r="D63" i="9"/>
  <c r="D65" i="9" s="1"/>
  <c r="B63" i="9"/>
  <c r="B62" i="9"/>
  <c r="C53" i="9"/>
  <c r="C99" i="9" s="1"/>
  <c r="H49" i="9"/>
  <c r="I49" i="9" s="1"/>
  <c r="J49" i="9" s="1"/>
  <c r="K49" i="9" s="1"/>
  <c r="L49" i="9" s="1"/>
  <c r="M49" i="9" s="1"/>
  <c r="N49" i="9" s="1"/>
  <c r="O49" i="9" s="1"/>
  <c r="E49" i="9"/>
  <c r="F49" i="9" s="1"/>
  <c r="C47" i="9"/>
  <c r="C93" i="9" s="1"/>
  <c r="C45" i="9"/>
  <c r="C91" i="9" s="1"/>
  <c r="D43" i="9"/>
  <c r="C43" i="9"/>
  <c r="C89" i="9" s="1"/>
  <c r="E42" i="9"/>
  <c r="E43" i="9" s="1"/>
  <c r="E44" i="9" s="1"/>
  <c r="D42" i="9"/>
  <c r="C42" i="9"/>
  <c r="C88" i="9" s="1"/>
  <c r="F41" i="9"/>
  <c r="F42" i="9" s="1"/>
  <c r="F43" i="9" s="1"/>
  <c r="F44" i="9" s="1"/>
  <c r="E41" i="9"/>
  <c r="O34" i="9"/>
  <c r="N34" i="9"/>
  <c r="S34" i="9" s="1"/>
  <c r="S33" i="9" s="1"/>
  <c r="M34" i="9"/>
  <c r="L34" i="9"/>
  <c r="K34" i="9"/>
  <c r="J34" i="9"/>
  <c r="R34" i="9" s="1"/>
  <c r="R33" i="9" s="1"/>
  <c r="I34" i="9"/>
  <c r="H34" i="9"/>
  <c r="G34" i="9"/>
  <c r="F34" i="9"/>
  <c r="E34" i="9"/>
  <c r="D34" i="9"/>
  <c r="T34" i="9" s="1"/>
  <c r="T33" i="9" s="1"/>
  <c r="C34" i="9"/>
  <c r="C80" i="9" s="1"/>
  <c r="T32" i="9"/>
  <c r="S32" i="9"/>
  <c r="R32" i="9"/>
  <c r="Q32" i="9"/>
  <c r="P32" i="9"/>
  <c r="C28" i="9"/>
  <c r="C74" i="9" s="1"/>
  <c r="N26" i="9"/>
  <c r="N27" i="9" s="1"/>
  <c r="M26" i="9"/>
  <c r="J26" i="9"/>
  <c r="J27" i="9" s="1"/>
  <c r="I26" i="9"/>
  <c r="I27" i="9" s="1"/>
  <c r="F26" i="9"/>
  <c r="F27" i="9" s="1"/>
  <c r="E26" i="9"/>
  <c r="E27" i="9" s="1"/>
  <c r="C26" i="9"/>
  <c r="C72" i="9" s="1"/>
  <c r="O23" i="9"/>
  <c r="N23" i="9"/>
  <c r="M23" i="9"/>
  <c r="L23" i="9"/>
  <c r="K23" i="9"/>
  <c r="J23" i="9"/>
  <c r="I23" i="9"/>
  <c r="H23" i="9"/>
  <c r="G23" i="9"/>
  <c r="F23" i="9"/>
  <c r="E23" i="9"/>
  <c r="D23" i="9"/>
  <c r="C23" i="9"/>
  <c r="O22" i="9"/>
  <c r="O26" i="9" s="1"/>
  <c r="O27" i="9" s="1"/>
  <c r="N22" i="9"/>
  <c r="M22" i="9"/>
  <c r="L22" i="9"/>
  <c r="K22" i="9"/>
  <c r="K26" i="9" s="1"/>
  <c r="K27" i="9" s="1"/>
  <c r="J22" i="9"/>
  <c r="I22" i="9"/>
  <c r="H22" i="9"/>
  <c r="G22" i="9"/>
  <c r="G26" i="9" s="1"/>
  <c r="F22" i="9"/>
  <c r="E22" i="9"/>
  <c r="D22" i="9"/>
  <c r="C22" i="9"/>
  <c r="C68" i="9" s="1"/>
  <c r="O21" i="9"/>
  <c r="N21" i="9"/>
  <c r="M21" i="9"/>
  <c r="L21" i="9"/>
  <c r="L26" i="9" s="1"/>
  <c r="L27" i="9" s="1"/>
  <c r="K21" i="9"/>
  <c r="J21" i="9"/>
  <c r="I21" i="9"/>
  <c r="H21" i="9"/>
  <c r="H26" i="9" s="1"/>
  <c r="H27" i="9" s="1"/>
  <c r="G21" i="9"/>
  <c r="F21" i="9"/>
  <c r="E21" i="9"/>
  <c r="D21" i="9"/>
  <c r="D26" i="9" s="1"/>
  <c r="C21" i="9"/>
  <c r="O19" i="9"/>
  <c r="N19" i="9"/>
  <c r="N28" i="9" s="1"/>
  <c r="L19" i="9"/>
  <c r="L28" i="9" s="1"/>
  <c r="K19" i="9"/>
  <c r="J19" i="9"/>
  <c r="J28" i="9" s="1"/>
  <c r="H19" i="9"/>
  <c r="G19" i="9"/>
  <c r="Q19" i="9" s="1"/>
  <c r="F19" i="9"/>
  <c r="F28" i="9" s="1"/>
  <c r="D19" i="9"/>
  <c r="C19" i="9"/>
  <c r="C65" i="9" s="1"/>
  <c r="O17" i="9"/>
  <c r="N17" i="9"/>
  <c r="M17" i="9"/>
  <c r="S17" i="9" s="1"/>
  <c r="L17" i="9"/>
  <c r="K17" i="9"/>
  <c r="J17" i="9"/>
  <c r="R17" i="9" s="1"/>
  <c r="I17" i="9"/>
  <c r="I19" i="9" s="1"/>
  <c r="I28" i="9" s="1"/>
  <c r="H17" i="9"/>
  <c r="G17" i="9"/>
  <c r="F17" i="9"/>
  <c r="E17" i="9"/>
  <c r="E19" i="9" s="1"/>
  <c r="E28" i="9" s="1"/>
  <c r="D17" i="9"/>
  <c r="T17" i="9" s="1"/>
  <c r="C17" i="9"/>
  <c r="C63" i="9" s="1"/>
  <c r="F7" i="9"/>
  <c r="G7" i="9" s="1"/>
  <c r="H7" i="9" s="1"/>
  <c r="I7" i="9" s="1"/>
  <c r="J7" i="9" s="1"/>
  <c r="K7" i="9" s="1"/>
  <c r="L7" i="9" s="1"/>
  <c r="M7" i="9" s="1"/>
  <c r="N7" i="9" s="1"/>
  <c r="O7" i="9" s="1"/>
  <c r="E7" i="9"/>
  <c r="T78" i="8"/>
  <c r="S78" i="8"/>
  <c r="R78" i="8"/>
  <c r="Q78" i="8"/>
  <c r="P78" i="8"/>
  <c r="T32" i="8"/>
  <c r="S32" i="8"/>
  <c r="R32" i="8"/>
  <c r="Q32" i="8"/>
  <c r="P32" i="8"/>
  <c r="C101" i="8"/>
  <c r="C96" i="8"/>
  <c r="B96" i="8"/>
  <c r="C95" i="8"/>
  <c r="C94" i="8"/>
  <c r="B94" i="8"/>
  <c r="B91" i="8"/>
  <c r="C89" i="8"/>
  <c r="B89" i="8"/>
  <c r="B88" i="8"/>
  <c r="B87" i="8"/>
  <c r="C84" i="8"/>
  <c r="B84" i="8"/>
  <c r="C83" i="8"/>
  <c r="B83" i="8"/>
  <c r="C82" i="8"/>
  <c r="B82" i="8"/>
  <c r="Q80" i="8"/>
  <c r="B80" i="8"/>
  <c r="S80" i="8"/>
  <c r="C79" i="8"/>
  <c r="B79" i="8"/>
  <c r="C78" i="8"/>
  <c r="B78" i="8"/>
  <c r="B77" i="8"/>
  <c r="B74" i="8"/>
  <c r="B72" i="8"/>
  <c r="B69" i="8"/>
  <c r="B68" i="8"/>
  <c r="B67" i="8"/>
  <c r="B65" i="8"/>
  <c r="C64" i="8"/>
  <c r="B64" i="8"/>
  <c r="P63" i="8"/>
  <c r="B63" i="8"/>
  <c r="B62" i="8"/>
  <c r="C53" i="8"/>
  <c r="C99" i="8" s="1"/>
  <c r="C47" i="8"/>
  <c r="C93" i="8" s="1"/>
  <c r="C45" i="8"/>
  <c r="C91" i="8" s="1"/>
  <c r="C43" i="8"/>
  <c r="C42" i="8"/>
  <c r="C88" i="8" s="1"/>
  <c r="C34" i="8"/>
  <c r="C80" i="8" s="1"/>
  <c r="S34" i="8"/>
  <c r="P34" i="8"/>
  <c r="C28" i="8"/>
  <c r="C74" i="8" s="1"/>
  <c r="C26" i="8"/>
  <c r="C72" i="8" s="1"/>
  <c r="C23" i="8"/>
  <c r="C69" i="8" s="1"/>
  <c r="C22" i="8"/>
  <c r="C68" i="8" s="1"/>
  <c r="C21" i="8"/>
  <c r="C67" i="8" s="1"/>
  <c r="C19" i="8"/>
  <c r="C65" i="8" s="1"/>
  <c r="P17" i="8"/>
  <c r="C17" i="8"/>
  <c r="C63" i="8" s="1"/>
  <c r="E7" i="8"/>
  <c r="F7" i="8" s="1"/>
  <c r="G7" i="8" s="1"/>
  <c r="H7" i="8" s="1"/>
  <c r="I7" i="8" s="1"/>
  <c r="J7" i="8" s="1"/>
  <c r="K7" i="8" s="1"/>
  <c r="L7" i="8" s="1"/>
  <c r="M7" i="8" s="1"/>
  <c r="N7" i="8" s="1"/>
  <c r="O7" i="8" s="1"/>
  <c r="C147" i="7"/>
  <c r="S63" i="8" l="1"/>
  <c r="S79" i="8"/>
  <c r="R80" i="8"/>
  <c r="R79" i="8" s="1"/>
  <c r="R63" i="8"/>
  <c r="Q34" i="8"/>
  <c r="Q33" i="8" s="1"/>
  <c r="T34" i="8"/>
  <c r="T33" i="8" s="1"/>
  <c r="Q18" i="9"/>
  <c r="D27" i="9"/>
  <c r="T26" i="9"/>
  <c r="T27" i="9" s="1"/>
  <c r="P26" i="9"/>
  <c r="G27" i="9"/>
  <c r="Q26" i="9"/>
  <c r="Q27" i="9" s="1"/>
  <c r="K94" i="9"/>
  <c r="H90" i="9"/>
  <c r="H91" i="9"/>
  <c r="N48" i="9"/>
  <c r="E47" i="9"/>
  <c r="E48" i="9"/>
  <c r="I48" i="9"/>
  <c r="D28" i="9"/>
  <c r="J48" i="9"/>
  <c r="R28" i="9"/>
  <c r="O28" i="9"/>
  <c r="F45" i="9"/>
  <c r="F47" i="9" s="1"/>
  <c r="D74" i="9"/>
  <c r="P65" i="9"/>
  <c r="L94" i="9"/>
  <c r="F48" i="9"/>
  <c r="K28" i="9"/>
  <c r="S26" i="9"/>
  <c r="S27" i="9" s="1"/>
  <c r="E74" i="9"/>
  <c r="J94" i="9"/>
  <c r="R94" i="9" s="1"/>
  <c r="R74" i="9"/>
  <c r="O73" i="9"/>
  <c r="O74" i="9"/>
  <c r="F90" i="9"/>
  <c r="F91" i="9"/>
  <c r="L48" i="9"/>
  <c r="H28" i="9"/>
  <c r="Q17" i="9"/>
  <c r="P43" i="9"/>
  <c r="P44" i="9" s="1"/>
  <c r="G28" i="9"/>
  <c r="G41" i="9"/>
  <c r="H93" i="9"/>
  <c r="P63" i="9"/>
  <c r="L73" i="9"/>
  <c r="G74" i="9"/>
  <c r="P17" i="9"/>
  <c r="M19" i="9"/>
  <c r="E45" i="9"/>
  <c r="Q34" i="9"/>
  <c r="Q33" i="9" s="1"/>
  <c r="R63" i="9"/>
  <c r="N74" i="9"/>
  <c r="T63" i="9"/>
  <c r="Q65" i="9"/>
  <c r="I87" i="9"/>
  <c r="D90" i="9"/>
  <c r="P89" i="9"/>
  <c r="P90" i="9" s="1"/>
  <c r="D91" i="9"/>
  <c r="H94" i="9"/>
  <c r="R19" i="9"/>
  <c r="R18" i="9" s="1"/>
  <c r="D45" i="9"/>
  <c r="F74" i="9"/>
  <c r="R26" i="9"/>
  <c r="R27" i="9" s="1"/>
  <c r="M27" i="9"/>
  <c r="R65" i="9"/>
  <c r="G90" i="9"/>
  <c r="P19" i="9"/>
  <c r="P18" i="9" s="1"/>
  <c r="T19" i="9"/>
  <c r="T18" i="9" s="1"/>
  <c r="P34" i="9"/>
  <c r="P33" i="9" s="1"/>
  <c r="D44" i="9"/>
  <c r="I74" i="9"/>
  <c r="M65" i="9"/>
  <c r="S63" i="9"/>
  <c r="Q63" i="9"/>
  <c r="M72" i="9"/>
  <c r="T72" i="9" s="1"/>
  <c r="T73" i="9" s="1"/>
  <c r="R72" i="9"/>
  <c r="R73" i="9" s="1"/>
  <c r="Q72" i="9"/>
  <c r="H73" i="9"/>
  <c r="P80" i="9"/>
  <c r="P79" i="9" s="1"/>
  <c r="P72" i="9"/>
  <c r="G91" i="9"/>
  <c r="Q19" i="8"/>
  <c r="R34" i="8"/>
  <c r="R33" i="8" s="1"/>
  <c r="T63" i="8"/>
  <c r="R17" i="8"/>
  <c r="Q63" i="8"/>
  <c r="Q17" i="8"/>
  <c r="S33" i="8"/>
  <c r="P33" i="8"/>
  <c r="Q79" i="8"/>
  <c r="P80" i="8"/>
  <c r="P79" i="8" s="1"/>
  <c r="D134" i="7"/>
  <c r="E133" i="7"/>
  <c r="O126" i="7"/>
  <c r="N126" i="7"/>
  <c r="M126" i="7"/>
  <c r="L126" i="7"/>
  <c r="K126" i="7"/>
  <c r="J126" i="7"/>
  <c r="I126" i="7"/>
  <c r="H126" i="7"/>
  <c r="G126" i="7"/>
  <c r="F126" i="7"/>
  <c r="E126" i="7"/>
  <c r="D126" i="7"/>
  <c r="P124" i="7"/>
  <c r="O115" i="7"/>
  <c r="N115" i="7"/>
  <c r="M115" i="7"/>
  <c r="L115" i="7"/>
  <c r="K115" i="7"/>
  <c r="J115" i="7"/>
  <c r="I115" i="7"/>
  <c r="H115" i="7"/>
  <c r="G115" i="7"/>
  <c r="F115" i="7"/>
  <c r="E115" i="7"/>
  <c r="D115" i="7"/>
  <c r="O114" i="7"/>
  <c r="N114" i="7"/>
  <c r="M114" i="7"/>
  <c r="L114" i="7"/>
  <c r="K114" i="7"/>
  <c r="J114" i="7"/>
  <c r="I114" i="7"/>
  <c r="H114" i="7"/>
  <c r="G114" i="7"/>
  <c r="F114" i="7"/>
  <c r="E114" i="7"/>
  <c r="D114" i="7"/>
  <c r="O113" i="7"/>
  <c r="N113" i="7"/>
  <c r="M113" i="7"/>
  <c r="L113" i="7"/>
  <c r="K113" i="7"/>
  <c r="J113" i="7"/>
  <c r="I113" i="7"/>
  <c r="H113" i="7"/>
  <c r="G113" i="7"/>
  <c r="F113" i="7"/>
  <c r="E113" i="7"/>
  <c r="D113" i="7"/>
  <c r="O109" i="7"/>
  <c r="O111" i="7" s="1"/>
  <c r="N109" i="7"/>
  <c r="N111" i="7" s="1"/>
  <c r="M109" i="7"/>
  <c r="L109" i="7"/>
  <c r="L111" i="7" s="1"/>
  <c r="K109" i="7"/>
  <c r="K111" i="7" s="1"/>
  <c r="J109" i="7"/>
  <c r="I109" i="7"/>
  <c r="I111" i="7" s="1"/>
  <c r="H109" i="7"/>
  <c r="H111" i="7" s="1"/>
  <c r="G109" i="7"/>
  <c r="G111" i="7" s="1"/>
  <c r="F109" i="7"/>
  <c r="F111" i="7" s="1"/>
  <c r="E109" i="7"/>
  <c r="E111" i="7" s="1"/>
  <c r="D109" i="7"/>
  <c r="B108" i="7"/>
  <c r="C96" i="7"/>
  <c r="C142" i="7" s="1"/>
  <c r="B96" i="7"/>
  <c r="B142" i="7" s="1"/>
  <c r="C95" i="7"/>
  <c r="C141" i="7" s="1"/>
  <c r="C94" i="7"/>
  <c r="C140" i="7" s="1"/>
  <c r="B94" i="7"/>
  <c r="B140" i="7" s="1"/>
  <c r="B91" i="7"/>
  <c r="B137" i="7" s="1"/>
  <c r="B89" i="7"/>
  <c r="B135" i="7" s="1"/>
  <c r="D88" i="7"/>
  <c r="B88" i="7"/>
  <c r="B134" i="7" s="1"/>
  <c r="E87" i="7"/>
  <c r="E88" i="7" s="1"/>
  <c r="B87" i="7"/>
  <c r="B133" i="7" s="1"/>
  <c r="B86" i="7"/>
  <c r="B132" i="7" s="1"/>
  <c r="D85" i="7"/>
  <c r="D86" i="7" s="1"/>
  <c r="C85" i="7"/>
  <c r="C131" i="7" s="1"/>
  <c r="B85" i="7"/>
  <c r="B131" i="7" s="1"/>
  <c r="C84" i="7"/>
  <c r="C130" i="7" s="1"/>
  <c r="B84" i="7"/>
  <c r="B130" i="7" s="1"/>
  <c r="C83" i="7"/>
  <c r="C129" i="7" s="1"/>
  <c r="B83" i="7"/>
  <c r="B129" i="7" s="1"/>
  <c r="C82" i="7"/>
  <c r="C128" i="7" s="1"/>
  <c r="B82" i="7"/>
  <c r="B128" i="7" s="1"/>
  <c r="O80" i="7"/>
  <c r="N80" i="7"/>
  <c r="M80" i="7"/>
  <c r="L80" i="7"/>
  <c r="K80" i="7"/>
  <c r="J80" i="7"/>
  <c r="I80" i="7"/>
  <c r="H80" i="7"/>
  <c r="G80" i="7"/>
  <c r="F80" i="7"/>
  <c r="E80" i="7"/>
  <c r="D80" i="7"/>
  <c r="B80" i="7"/>
  <c r="B126" i="7" s="1"/>
  <c r="C79" i="7"/>
  <c r="C125" i="7" s="1"/>
  <c r="B79" i="7"/>
  <c r="B125" i="7" s="1"/>
  <c r="T78" i="7"/>
  <c r="S78" i="7"/>
  <c r="R78" i="7"/>
  <c r="Q78" i="7"/>
  <c r="P78" i="7"/>
  <c r="C78" i="7"/>
  <c r="C124" i="7" s="1"/>
  <c r="B78" i="7"/>
  <c r="B124" i="7" s="1"/>
  <c r="B77" i="7"/>
  <c r="B123" i="7" s="1"/>
  <c r="B74" i="7"/>
  <c r="B120" i="7" s="1"/>
  <c r="B72" i="7"/>
  <c r="B118" i="7" s="1"/>
  <c r="B71" i="7"/>
  <c r="B117" i="7" s="1"/>
  <c r="D70" i="7"/>
  <c r="C70" i="7"/>
  <c r="C116" i="7" s="1"/>
  <c r="B70" i="7"/>
  <c r="B116" i="7" s="1"/>
  <c r="O69" i="7"/>
  <c r="N69" i="7"/>
  <c r="M69" i="7"/>
  <c r="L69" i="7"/>
  <c r="K69" i="7"/>
  <c r="J69" i="7"/>
  <c r="I69" i="7"/>
  <c r="H69" i="7"/>
  <c r="G69" i="7"/>
  <c r="F69" i="7"/>
  <c r="E69" i="7"/>
  <c r="D69" i="7"/>
  <c r="D71" i="7" s="1"/>
  <c r="B69" i="7"/>
  <c r="B115" i="7" s="1"/>
  <c r="O68" i="7"/>
  <c r="N68" i="7"/>
  <c r="M68" i="7"/>
  <c r="L68" i="7"/>
  <c r="K68" i="7"/>
  <c r="J68" i="7"/>
  <c r="I68" i="7"/>
  <c r="H68" i="7"/>
  <c r="G68" i="7"/>
  <c r="F68" i="7"/>
  <c r="E68" i="7"/>
  <c r="D68" i="7"/>
  <c r="C68" i="7"/>
  <c r="C114" i="7" s="1"/>
  <c r="B68" i="7"/>
  <c r="B114" i="7" s="1"/>
  <c r="O67" i="7"/>
  <c r="N67" i="7"/>
  <c r="M67" i="7"/>
  <c r="L67" i="7"/>
  <c r="K67" i="7"/>
  <c r="J67" i="7"/>
  <c r="I67" i="7"/>
  <c r="H67" i="7"/>
  <c r="G67" i="7"/>
  <c r="F67" i="7"/>
  <c r="E67" i="7"/>
  <c r="D67" i="7"/>
  <c r="B67" i="7"/>
  <c r="B113" i="7" s="1"/>
  <c r="B65" i="7"/>
  <c r="B111" i="7" s="1"/>
  <c r="C64" i="7"/>
  <c r="C110" i="7" s="1"/>
  <c r="B64" i="7"/>
  <c r="B110" i="7" s="1"/>
  <c r="O63" i="7"/>
  <c r="O65" i="7" s="1"/>
  <c r="N63" i="7"/>
  <c r="M63" i="7"/>
  <c r="M65" i="7" s="1"/>
  <c r="L63" i="7"/>
  <c r="L65" i="7" s="1"/>
  <c r="K63" i="7"/>
  <c r="K65" i="7" s="1"/>
  <c r="J63" i="7"/>
  <c r="J65" i="7" s="1"/>
  <c r="I63" i="7"/>
  <c r="I65" i="7" s="1"/>
  <c r="H63" i="7"/>
  <c r="H65" i="7" s="1"/>
  <c r="G63" i="7"/>
  <c r="G65" i="7" s="1"/>
  <c r="F63" i="7"/>
  <c r="F65" i="7" s="1"/>
  <c r="E63" i="7"/>
  <c r="E65" i="7" s="1"/>
  <c r="D63" i="7"/>
  <c r="D65" i="7" s="1"/>
  <c r="B63" i="7"/>
  <c r="B109" i="7" s="1"/>
  <c r="B62" i="7"/>
  <c r="C53" i="7"/>
  <c r="C99" i="7" s="1"/>
  <c r="C145" i="7" s="1"/>
  <c r="H49" i="7"/>
  <c r="E49" i="7"/>
  <c r="F49" i="7" s="1"/>
  <c r="C47" i="7"/>
  <c r="C93" i="7" s="1"/>
  <c r="C139" i="7" s="1"/>
  <c r="C45" i="7"/>
  <c r="C91" i="7" s="1"/>
  <c r="C137" i="7" s="1"/>
  <c r="C43" i="7"/>
  <c r="C89" i="7" s="1"/>
  <c r="C135" i="7" s="1"/>
  <c r="D42" i="7"/>
  <c r="C42" i="7"/>
  <c r="C88" i="7" s="1"/>
  <c r="C134" i="7" s="1"/>
  <c r="E41" i="7"/>
  <c r="E42" i="7" s="1"/>
  <c r="D40" i="7"/>
  <c r="C40" i="7"/>
  <c r="C86" i="7" s="1"/>
  <c r="C132" i="7" s="1"/>
  <c r="E39" i="7"/>
  <c r="E40" i="7" s="1"/>
  <c r="O34" i="7"/>
  <c r="N34" i="7"/>
  <c r="M34" i="7"/>
  <c r="L34" i="7"/>
  <c r="K34" i="7"/>
  <c r="J34" i="7"/>
  <c r="I34" i="7"/>
  <c r="H34" i="7"/>
  <c r="G34" i="7"/>
  <c r="F34" i="7"/>
  <c r="E34" i="7"/>
  <c r="D34" i="7"/>
  <c r="C34" i="7"/>
  <c r="C80" i="7" s="1"/>
  <c r="C126" i="7" s="1"/>
  <c r="T32" i="7"/>
  <c r="S32" i="7"/>
  <c r="R32" i="7"/>
  <c r="Q32" i="7"/>
  <c r="P32" i="7"/>
  <c r="C28" i="7"/>
  <c r="C74" i="7" s="1"/>
  <c r="C120" i="7" s="1"/>
  <c r="C26" i="7"/>
  <c r="C72" i="7" s="1"/>
  <c r="C118" i="7" s="1"/>
  <c r="C25" i="7"/>
  <c r="C71" i="7" s="1"/>
  <c r="C117" i="7" s="1"/>
  <c r="O23" i="7"/>
  <c r="N23" i="7"/>
  <c r="M23" i="7"/>
  <c r="L23" i="7"/>
  <c r="K23" i="7"/>
  <c r="J23" i="7"/>
  <c r="I23" i="7"/>
  <c r="H23" i="7"/>
  <c r="G23" i="7"/>
  <c r="F23" i="7"/>
  <c r="E23" i="7"/>
  <c r="D23" i="7"/>
  <c r="D25" i="7" s="1"/>
  <c r="C23" i="7"/>
  <c r="C69" i="7" s="1"/>
  <c r="C115" i="7" s="1"/>
  <c r="O22" i="7"/>
  <c r="N22" i="7"/>
  <c r="M22" i="7"/>
  <c r="L22" i="7"/>
  <c r="K22" i="7"/>
  <c r="J22" i="7"/>
  <c r="I22" i="7"/>
  <c r="H22" i="7"/>
  <c r="G22" i="7"/>
  <c r="F22" i="7"/>
  <c r="E22" i="7"/>
  <c r="D22" i="7"/>
  <c r="C22" i="7"/>
  <c r="O21" i="7"/>
  <c r="N21" i="7"/>
  <c r="M21" i="7"/>
  <c r="L21" i="7"/>
  <c r="K21" i="7"/>
  <c r="J21" i="7"/>
  <c r="I21" i="7"/>
  <c r="H21" i="7"/>
  <c r="G21" i="7"/>
  <c r="F21" i="7"/>
  <c r="E21" i="7"/>
  <c r="D21" i="7"/>
  <c r="C21" i="7"/>
  <c r="C67" i="7" s="1"/>
  <c r="C113" i="7" s="1"/>
  <c r="C19" i="7"/>
  <c r="C65" i="7" s="1"/>
  <c r="C111" i="7" s="1"/>
  <c r="O17" i="7"/>
  <c r="O19" i="7" s="1"/>
  <c r="N17" i="7"/>
  <c r="N19" i="7" s="1"/>
  <c r="M17" i="7"/>
  <c r="M19" i="7" s="1"/>
  <c r="L17" i="7"/>
  <c r="L19" i="7" s="1"/>
  <c r="K17" i="7"/>
  <c r="K19" i="7" s="1"/>
  <c r="J17" i="7"/>
  <c r="J19" i="7" s="1"/>
  <c r="I17" i="7"/>
  <c r="I19" i="7" s="1"/>
  <c r="H17" i="7"/>
  <c r="H19" i="7" s="1"/>
  <c r="F17" i="7"/>
  <c r="F19" i="7" s="1"/>
  <c r="E17" i="7"/>
  <c r="E19" i="7" s="1"/>
  <c r="D17" i="7"/>
  <c r="D19" i="7" s="1"/>
  <c r="C17" i="7"/>
  <c r="C63" i="7" s="1"/>
  <c r="C109" i="7" s="1"/>
  <c r="E7" i="7"/>
  <c r="F7" i="7" s="1"/>
  <c r="G7" i="7" s="1"/>
  <c r="H7" i="7" s="1"/>
  <c r="T76" i="6"/>
  <c r="S76" i="6"/>
  <c r="R76" i="6"/>
  <c r="Q76" i="6"/>
  <c r="P76" i="6"/>
  <c r="T31" i="6"/>
  <c r="S31" i="6"/>
  <c r="R31" i="6"/>
  <c r="Q31" i="6"/>
  <c r="I49" i="7" l="1"/>
  <c r="H95" i="7"/>
  <c r="H141" i="7" s="1"/>
  <c r="J7" i="7"/>
  <c r="K7" i="7" s="1"/>
  <c r="L7" i="7" s="1"/>
  <c r="M7" i="7" s="1"/>
  <c r="N7" i="7" s="1"/>
  <c r="O7" i="7" s="1"/>
  <c r="I7" i="7"/>
  <c r="Q126" i="7"/>
  <c r="Q125" i="7" s="1"/>
  <c r="D89" i="7"/>
  <c r="D91" i="7" s="1"/>
  <c r="F87" i="7"/>
  <c r="G87" i="7" s="1"/>
  <c r="E25" i="7"/>
  <c r="E26" i="7" s="1"/>
  <c r="E27" i="7" s="1"/>
  <c r="S126" i="7"/>
  <c r="S125" i="7" s="1"/>
  <c r="Q111" i="7"/>
  <c r="Q109" i="7"/>
  <c r="M111" i="7"/>
  <c r="S111" i="7" s="1"/>
  <c r="S109" i="7"/>
  <c r="S80" i="7"/>
  <c r="S79" i="7" s="1"/>
  <c r="S26" i="8"/>
  <c r="S27" i="8" s="1"/>
  <c r="R80" i="7"/>
  <c r="R79" i="7" s="1"/>
  <c r="T126" i="7"/>
  <c r="R126" i="7"/>
  <c r="J111" i="7"/>
  <c r="T109" i="7"/>
  <c r="R109" i="7"/>
  <c r="R17" i="7"/>
  <c r="R26" i="8"/>
  <c r="R27" i="8" s="1"/>
  <c r="Q17" i="7"/>
  <c r="F88" i="7"/>
  <c r="T80" i="7"/>
  <c r="T79" i="7" s="1"/>
  <c r="D43" i="7"/>
  <c r="D44" i="7" s="1"/>
  <c r="E43" i="7"/>
  <c r="E44" i="7" s="1"/>
  <c r="D26" i="7"/>
  <c r="S65" i="9"/>
  <c r="S64" i="9" s="1"/>
  <c r="M74" i="9"/>
  <c r="S19" i="9"/>
  <c r="S18" i="9" s="1"/>
  <c r="M28" i="9"/>
  <c r="H48" i="9"/>
  <c r="O94" i="9"/>
  <c r="P74" i="9"/>
  <c r="D94" i="9"/>
  <c r="D93" i="9"/>
  <c r="I94" i="9"/>
  <c r="N94" i="9"/>
  <c r="E93" i="9"/>
  <c r="E94" i="9"/>
  <c r="K48" i="9"/>
  <c r="R48" i="9"/>
  <c r="Q73" i="9"/>
  <c r="R64" i="9"/>
  <c r="P45" i="9"/>
  <c r="Q64" i="9"/>
  <c r="G48" i="9"/>
  <c r="Q48" i="9" s="1"/>
  <c r="Q28" i="9"/>
  <c r="T65" i="9"/>
  <c r="T64" i="9" s="1"/>
  <c r="P27" i="9"/>
  <c r="M73" i="9"/>
  <c r="S72" i="9"/>
  <c r="S73" i="9" s="1"/>
  <c r="P73" i="9"/>
  <c r="F94" i="9"/>
  <c r="F93" i="9"/>
  <c r="P91" i="9"/>
  <c r="I88" i="9"/>
  <c r="I89" i="9" s="1"/>
  <c r="J87" i="9"/>
  <c r="G94" i="9"/>
  <c r="Q94" i="9" s="1"/>
  <c r="Q74" i="9"/>
  <c r="G93" i="9"/>
  <c r="G42" i="9"/>
  <c r="G43" i="9" s="1"/>
  <c r="H41" i="9"/>
  <c r="P64" i="9"/>
  <c r="O48" i="9"/>
  <c r="D47" i="9"/>
  <c r="T28" i="9"/>
  <c r="P28" i="9"/>
  <c r="D48" i="9"/>
  <c r="T19" i="8"/>
  <c r="T18" i="8" s="1"/>
  <c r="P19" i="8"/>
  <c r="P18" i="8" s="1"/>
  <c r="S72" i="8"/>
  <c r="S73" i="8" s="1"/>
  <c r="Q26" i="8"/>
  <c r="Q27" i="8" s="1"/>
  <c r="T65" i="8"/>
  <c r="T64" i="8" s="1"/>
  <c r="P65" i="8"/>
  <c r="P64" i="8" s="1"/>
  <c r="T80" i="8"/>
  <c r="T79" i="8" s="1"/>
  <c r="R65" i="8"/>
  <c r="R64" i="8" s="1"/>
  <c r="P91" i="8"/>
  <c r="T26" i="8"/>
  <c r="T27" i="8" s="1"/>
  <c r="P26" i="8"/>
  <c r="P27" i="8" s="1"/>
  <c r="Q65" i="8"/>
  <c r="Q64" i="8" s="1"/>
  <c r="P43" i="8"/>
  <c r="P44" i="8" s="1"/>
  <c r="Q18" i="8"/>
  <c r="Q72" i="8"/>
  <c r="Q73" i="8" s="1"/>
  <c r="S65" i="8"/>
  <c r="S64" i="8" s="1"/>
  <c r="T72" i="8"/>
  <c r="T73" i="8" s="1"/>
  <c r="P72" i="8"/>
  <c r="P73" i="8" s="1"/>
  <c r="R19" i="8"/>
  <c r="R18" i="8" s="1"/>
  <c r="R72" i="8"/>
  <c r="R73" i="8" s="1"/>
  <c r="P19" i="7"/>
  <c r="T17" i="7"/>
  <c r="Q65" i="7"/>
  <c r="P65" i="7"/>
  <c r="S19" i="7"/>
  <c r="P17" i="7"/>
  <c r="E85" i="7"/>
  <c r="E86" i="7" s="1"/>
  <c r="E89" i="7" s="1"/>
  <c r="E90" i="7" s="1"/>
  <c r="E70" i="7"/>
  <c r="E71" i="7" s="1"/>
  <c r="E72" i="7" s="1"/>
  <c r="R34" i="7"/>
  <c r="R33" i="7" s="1"/>
  <c r="T63" i="7"/>
  <c r="R63" i="7"/>
  <c r="F70" i="7"/>
  <c r="Q34" i="7"/>
  <c r="Q33" i="7" s="1"/>
  <c r="R19" i="7"/>
  <c r="S17" i="7"/>
  <c r="G19" i="7"/>
  <c r="F25" i="7"/>
  <c r="F26" i="7" s="1"/>
  <c r="T34" i="7"/>
  <c r="T33" i="7" s="1"/>
  <c r="S34" i="7"/>
  <c r="S33" i="7" s="1"/>
  <c r="R65" i="7"/>
  <c r="S63" i="7"/>
  <c r="N65" i="7"/>
  <c r="T65" i="7" s="1"/>
  <c r="F85" i="7"/>
  <c r="F86" i="7" s="1"/>
  <c r="P63" i="7"/>
  <c r="P126" i="7"/>
  <c r="P125" i="7" s="1"/>
  <c r="F39" i="7"/>
  <c r="F41" i="7"/>
  <c r="Q63" i="7"/>
  <c r="D72" i="7"/>
  <c r="D74" i="7" s="1"/>
  <c r="P34" i="7"/>
  <c r="P33" i="7" s="1"/>
  <c r="Q80" i="7"/>
  <c r="Q79" i="7" s="1"/>
  <c r="D116" i="7"/>
  <c r="D117" i="7" s="1"/>
  <c r="D118" i="7" s="1"/>
  <c r="D131" i="7"/>
  <c r="D132" i="7" s="1"/>
  <c r="D135" i="7" s="1"/>
  <c r="D137" i="7" s="1"/>
  <c r="P80" i="7"/>
  <c r="P79" i="7" s="1"/>
  <c r="P109" i="7"/>
  <c r="E134" i="7"/>
  <c r="F133" i="7"/>
  <c r="D111" i="7"/>
  <c r="P17" i="6"/>
  <c r="P18" i="6" s="1"/>
  <c r="C99" i="6"/>
  <c r="C94" i="6"/>
  <c r="B94" i="6"/>
  <c r="C93" i="6"/>
  <c r="C92" i="6"/>
  <c r="B92" i="6"/>
  <c r="B89" i="6"/>
  <c r="B87" i="6"/>
  <c r="B86" i="6"/>
  <c r="B85" i="6"/>
  <c r="B84" i="6"/>
  <c r="C83" i="6"/>
  <c r="B83" i="6"/>
  <c r="C82" i="6"/>
  <c r="B82" i="6"/>
  <c r="C81" i="6"/>
  <c r="B81" i="6"/>
  <c r="C80" i="6"/>
  <c r="B80" i="6"/>
  <c r="B78" i="6"/>
  <c r="C77" i="6"/>
  <c r="B77" i="6"/>
  <c r="C76" i="6"/>
  <c r="B76" i="6"/>
  <c r="B75" i="6"/>
  <c r="B73" i="6"/>
  <c r="B71" i="6"/>
  <c r="B70" i="6"/>
  <c r="C69" i="6"/>
  <c r="B69" i="6"/>
  <c r="B68" i="6"/>
  <c r="B67" i="6"/>
  <c r="B66" i="6"/>
  <c r="B64" i="6"/>
  <c r="C63" i="6"/>
  <c r="B63" i="6"/>
  <c r="B62" i="6"/>
  <c r="B61" i="6"/>
  <c r="C52" i="6"/>
  <c r="C97" i="6" s="1"/>
  <c r="C46" i="6"/>
  <c r="C91" i="6" s="1"/>
  <c r="C44" i="6"/>
  <c r="C89" i="6" s="1"/>
  <c r="C42" i="6"/>
  <c r="C87" i="6" s="1"/>
  <c r="C41" i="6"/>
  <c r="C86" i="6" s="1"/>
  <c r="C39" i="6"/>
  <c r="C84" i="6" s="1"/>
  <c r="C33" i="6"/>
  <c r="C78" i="6" s="1"/>
  <c r="C28" i="6"/>
  <c r="C73" i="6" s="1"/>
  <c r="C26" i="6"/>
  <c r="C71" i="6" s="1"/>
  <c r="C25" i="6"/>
  <c r="C70" i="6" s="1"/>
  <c r="C23" i="6"/>
  <c r="C68" i="6" s="1"/>
  <c r="C22" i="6"/>
  <c r="C67" i="6" s="1"/>
  <c r="C21" i="6"/>
  <c r="C66" i="6" s="1"/>
  <c r="C19" i="6"/>
  <c r="C64" i="6" s="1"/>
  <c r="C17" i="6"/>
  <c r="C62" i="6" s="1"/>
  <c r="F7" i="6"/>
  <c r="G7" i="6" s="1"/>
  <c r="H7" i="6" s="1"/>
  <c r="I7" i="6" s="1"/>
  <c r="J7" i="6" s="1"/>
  <c r="K7" i="6" s="1"/>
  <c r="L7" i="6" s="1"/>
  <c r="M7" i="6" s="1"/>
  <c r="N7" i="6" s="1"/>
  <c r="O7" i="6" s="1"/>
  <c r="I95" i="7" l="1"/>
  <c r="I141" i="7" s="1"/>
  <c r="D90" i="7"/>
  <c r="D93" i="7"/>
  <c r="D94" i="7" s="1"/>
  <c r="G88" i="7"/>
  <c r="H87" i="7"/>
  <c r="E45" i="7"/>
  <c r="E91" i="7"/>
  <c r="Q110" i="7"/>
  <c r="S110" i="7"/>
  <c r="F89" i="7"/>
  <c r="F90" i="7" s="1"/>
  <c r="D45" i="7"/>
  <c r="D27" i="7"/>
  <c r="P26" i="7"/>
  <c r="P27" i="7" s="1"/>
  <c r="S65" i="7"/>
  <c r="S64" i="7" s="1"/>
  <c r="S62" i="6"/>
  <c r="R125" i="7"/>
  <c r="T125" i="7"/>
  <c r="R64" i="7"/>
  <c r="R18" i="7"/>
  <c r="T111" i="7"/>
  <c r="T110" i="7" s="1"/>
  <c r="R111" i="7"/>
  <c r="R110" i="7" s="1"/>
  <c r="S19" i="6"/>
  <c r="S18" i="6" s="1"/>
  <c r="R19" i="6"/>
  <c r="R18" i="6" s="1"/>
  <c r="S33" i="6"/>
  <c r="S32" i="6" s="1"/>
  <c r="S78" i="6"/>
  <c r="S77" i="6" s="1"/>
  <c r="R33" i="6"/>
  <c r="R32" i="6" s="1"/>
  <c r="P64" i="6"/>
  <c r="R62" i="6"/>
  <c r="R78" i="6"/>
  <c r="R77" i="6" s="1"/>
  <c r="T62" i="6"/>
  <c r="Q62" i="6"/>
  <c r="Q19" i="6"/>
  <c r="Q18" i="6" s="1"/>
  <c r="Q33" i="6"/>
  <c r="T33" i="6"/>
  <c r="T32" i="6" s="1"/>
  <c r="T64" i="7"/>
  <c r="D28" i="7"/>
  <c r="E28" i="7"/>
  <c r="P94" i="9"/>
  <c r="T48" i="9"/>
  <c r="P48" i="9"/>
  <c r="G44" i="9"/>
  <c r="G45" i="9"/>
  <c r="K87" i="9"/>
  <c r="J88" i="9"/>
  <c r="J89" i="9" s="1"/>
  <c r="S74" i="9"/>
  <c r="M94" i="9"/>
  <c r="S94" i="9" s="1"/>
  <c r="I90" i="9"/>
  <c r="I91" i="9"/>
  <c r="Q89" i="9"/>
  <c r="Q90" i="9" s="1"/>
  <c r="T74" i="9"/>
  <c r="D50" i="9"/>
  <c r="P47" i="9"/>
  <c r="H42" i="9"/>
  <c r="H43" i="9" s="1"/>
  <c r="I41" i="9"/>
  <c r="D96" i="9"/>
  <c r="D97" i="9"/>
  <c r="P93" i="9"/>
  <c r="D99" i="9"/>
  <c r="M48" i="9"/>
  <c r="S48" i="9" s="1"/>
  <c r="S28" i="9"/>
  <c r="T28" i="8"/>
  <c r="P28" i="8"/>
  <c r="Q48" i="8"/>
  <c r="Q28" i="8"/>
  <c r="S48" i="8"/>
  <c r="S28" i="8"/>
  <c r="P45" i="8"/>
  <c r="S94" i="8"/>
  <c r="S74" i="8"/>
  <c r="R28" i="8"/>
  <c r="R48" i="8"/>
  <c r="P89" i="8"/>
  <c r="P90" i="8" s="1"/>
  <c r="Q74" i="8"/>
  <c r="Q94" i="8"/>
  <c r="P74" i="8"/>
  <c r="T74" i="8"/>
  <c r="R74" i="8"/>
  <c r="R94" i="8"/>
  <c r="Q43" i="8"/>
  <c r="Q44" i="8" s="1"/>
  <c r="D119" i="7"/>
  <c r="E73" i="7"/>
  <c r="E74" i="7"/>
  <c r="F27" i="7"/>
  <c r="F28" i="7"/>
  <c r="D120" i="7"/>
  <c r="P111" i="7"/>
  <c r="P110" i="7" s="1"/>
  <c r="Q19" i="7"/>
  <c r="Q18" i="7" s="1"/>
  <c r="E116" i="7"/>
  <c r="E117" i="7" s="1"/>
  <c r="E118" i="7" s="1"/>
  <c r="E131" i="7"/>
  <c r="E132" i="7" s="1"/>
  <c r="E135" i="7" s="1"/>
  <c r="P64" i="7"/>
  <c r="Q64" i="7"/>
  <c r="T19" i="7"/>
  <c r="T18" i="7" s="1"/>
  <c r="D73" i="7"/>
  <c r="F40" i="7"/>
  <c r="G39" i="7"/>
  <c r="F131" i="7"/>
  <c r="F132" i="7" s="1"/>
  <c r="F116" i="7"/>
  <c r="F117" i="7" s="1"/>
  <c r="F118" i="7" s="1"/>
  <c r="F134" i="7"/>
  <c r="G133" i="7"/>
  <c r="D136" i="7"/>
  <c r="F71" i="7"/>
  <c r="F72" i="7" s="1"/>
  <c r="F42" i="7"/>
  <c r="G41" i="7"/>
  <c r="G85" i="7"/>
  <c r="G86" i="7" s="1"/>
  <c r="G89" i="7" s="1"/>
  <c r="G70" i="7"/>
  <c r="S18" i="7"/>
  <c r="P18" i="7"/>
  <c r="G25" i="7"/>
  <c r="G26" i="7" s="1"/>
  <c r="G28" i="7" s="1"/>
  <c r="T78" i="6"/>
  <c r="J95" i="7" l="1"/>
  <c r="J141" i="7" s="1"/>
  <c r="K49" i="7"/>
  <c r="E47" i="7"/>
  <c r="E48" i="7" s="1"/>
  <c r="H88" i="7"/>
  <c r="I87" i="7"/>
  <c r="F91" i="7"/>
  <c r="P91" i="7" s="1"/>
  <c r="P89" i="7"/>
  <c r="P90" i="7" s="1"/>
  <c r="D47" i="7"/>
  <c r="T19" i="6"/>
  <c r="T18" i="6" s="1"/>
  <c r="P77" i="6"/>
  <c r="P63" i="6"/>
  <c r="S64" i="6"/>
  <c r="S63" i="6" s="1"/>
  <c r="R64" i="6"/>
  <c r="R63" i="6" s="1"/>
  <c r="Q77" i="6"/>
  <c r="T77" i="6"/>
  <c r="Q64" i="6"/>
  <c r="Q63" i="6" s="1"/>
  <c r="T64" i="6"/>
  <c r="T63" i="6" s="1"/>
  <c r="Q32" i="6"/>
  <c r="F135" i="7"/>
  <c r="P135" i="7" s="1"/>
  <c r="P136" i="7" s="1"/>
  <c r="F43" i="7"/>
  <c r="F45" i="7" s="1"/>
  <c r="F47" i="7" s="1"/>
  <c r="F48" i="7" s="1"/>
  <c r="P28" i="7"/>
  <c r="I42" i="9"/>
  <c r="I43" i="9" s="1"/>
  <c r="J41" i="9"/>
  <c r="G47" i="9"/>
  <c r="H44" i="9"/>
  <c r="H45" i="9"/>
  <c r="H47" i="9" s="1"/>
  <c r="D53" i="9"/>
  <c r="D51" i="9"/>
  <c r="Q91" i="9"/>
  <c r="I93" i="9"/>
  <c r="J90" i="9"/>
  <c r="J91" i="9"/>
  <c r="Q43" i="9"/>
  <c r="Q44" i="9" s="1"/>
  <c r="E99" i="9"/>
  <c r="E96" i="9"/>
  <c r="E97" i="9" s="1"/>
  <c r="L87" i="9"/>
  <c r="K88" i="9"/>
  <c r="K89" i="9" s="1"/>
  <c r="T94" i="9"/>
  <c r="T94" i="8"/>
  <c r="P93" i="8"/>
  <c r="P97" i="8" s="1"/>
  <c r="P47" i="8"/>
  <c r="T48" i="8"/>
  <c r="P48" i="8"/>
  <c r="Q45" i="8"/>
  <c r="G90" i="7"/>
  <c r="G91" i="7"/>
  <c r="G42" i="7"/>
  <c r="H41" i="7"/>
  <c r="E119" i="7"/>
  <c r="E120" i="7"/>
  <c r="E93" i="7"/>
  <c r="E94" i="7" s="1"/>
  <c r="D139" i="7"/>
  <c r="D140" i="7" s="1"/>
  <c r="G27" i="7"/>
  <c r="G116" i="7"/>
  <c r="G117" i="7" s="1"/>
  <c r="G118" i="7" s="1"/>
  <c r="G131" i="7"/>
  <c r="G132" i="7" s="1"/>
  <c r="G71" i="7"/>
  <c r="G72" i="7" s="1"/>
  <c r="F73" i="7"/>
  <c r="F74" i="7"/>
  <c r="P72" i="7"/>
  <c r="P73" i="7" s="1"/>
  <c r="H70" i="7"/>
  <c r="H85" i="7"/>
  <c r="H86" i="7" s="1"/>
  <c r="H25" i="7"/>
  <c r="H26" i="7" s="1"/>
  <c r="G40" i="7"/>
  <c r="H39" i="7"/>
  <c r="E136" i="7"/>
  <c r="E137" i="7"/>
  <c r="D96" i="7"/>
  <c r="D97" i="7" s="1"/>
  <c r="P118" i="7"/>
  <c r="P119" i="7" s="1"/>
  <c r="H133" i="7"/>
  <c r="G134" i="7"/>
  <c r="F119" i="7"/>
  <c r="F120" i="7"/>
  <c r="P26" i="6"/>
  <c r="P27" i="6" s="1"/>
  <c r="P42" i="6"/>
  <c r="P43" i="6" s="1"/>
  <c r="K95" i="7" l="1"/>
  <c r="K141" i="7" s="1"/>
  <c r="L49" i="7"/>
  <c r="D99" i="7"/>
  <c r="H89" i="7"/>
  <c r="H90" i="7" s="1"/>
  <c r="D48" i="7"/>
  <c r="D50" i="7" s="1"/>
  <c r="D53" i="7" s="1"/>
  <c r="E50" i="7" s="1"/>
  <c r="E51" i="7" s="1"/>
  <c r="P120" i="7"/>
  <c r="P74" i="7"/>
  <c r="P47" i="7"/>
  <c r="F136" i="7"/>
  <c r="I88" i="7"/>
  <c r="J87" i="7"/>
  <c r="F44" i="7"/>
  <c r="P43" i="7"/>
  <c r="P44" i="7" s="1"/>
  <c r="F137" i="7"/>
  <c r="P137" i="7" s="1"/>
  <c r="P51" i="8"/>
  <c r="P71" i="6"/>
  <c r="P72" i="6" s="1"/>
  <c r="P92" i="6"/>
  <c r="P87" i="6"/>
  <c r="P88" i="6" s="1"/>
  <c r="G43" i="7"/>
  <c r="G44" i="7" s="1"/>
  <c r="F96" i="9"/>
  <c r="Q93" i="9"/>
  <c r="D101" i="9"/>
  <c r="E50" i="9"/>
  <c r="E53" i="9"/>
  <c r="K90" i="9"/>
  <c r="K91" i="9"/>
  <c r="K93" i="9" s="1"/>
  <c r="R89" i="9"/>
  <c r="R90" i="9" s="1"/>
  <c r="K41" i="9"/>
  <c r="J42" i="9"/>
  <c r="J43" i="9" s="1"/>
  <c r="L88" i="9"/>
  <c r="L89" i="9" s="1"/>
  <c r="M87" i="9"/>
  <c r="J93" i="9"/>
  <c r="Q45" i="9"/>
  <c r="I44" i="9"/>
  <c r="I45" i="9"/>
  <c r="G73" i="7"/>
  <c r="G74" i="7"/>
  <c r="I85" i="7"/>
  <c r="I86" i="7" s="1"/>
  <c r="I70" i="7"/>
  <c r="I25" i="7"/>
  <c r="I26" i="7" s="1"/>
  <c r="F93" i="7"/>
  <c r="G119" i="7"/>
  <c r="G120" i="7"/>
  <c r="D142" i="7"/>
  <c r="P45" i="7"/>
  <c r="H116" i="7"/>
  <c r="H117" i="7" s="1"/>
  <c r="H118" i="7" s="1"/>
  <c r="H131" i="7"/>
  <c r="H132" i="7" s="1"/>
  <c r="H71" i="7"/>
  <c r="H72" i="7" s="1"/>
  <c r="H134" i="7"/>
  <c r="I133" i="7"/>
  <c r="H40" i="7"/>
  <c r="I39" i="7"/>
  <c r="E139" i="7"/>
  <c r="E140" i="7" s="1"/>
  <c r="H27" i="7"/>
  <c r="H28" i="7"/>
  <c r="G135" i="7"/>
  <c r="H42" i="7"/>
  <c r="I41" i="7"/>
  <c r="P28" i="6"/>
  <c r="L95" i="7" l="1"/>
  <c r="L141" i="7" s="1"/>
  <c r="M49" i="7"/>
  <c r="H91" i="7"/>
  <c r="P48" i="7"/>
  <c r="P93" i="7"/>
  <c r="F94" i="7"/>
  <c r="P94" i="7" s="1"/>
  <c r="D51" i="7"/>
  <c r="I89" i="7"/>
  <c r="Q89" i="7" s="1"/>
  <c r="Q90" i="7" s="1"/>
  <c r="F139" i="7"/>
  <c r="K87" i="7"/>
  <c r="J88" i="7"/>
  <c r="D145" i="7"/>
  <c r="D147" i="7" s="1"/>
  <c r="D149" i="7" s="1"/>
  <c r="P89" i="6"/>
  <c r="P73" i="6"/>
  <c r="G45" i="7"/>
  <c r="G47" i="7" s="1"/>
  <c r="G48" i="7" s="1"/>
  <c r="D143" i="7"/>
  <c r="E53" i="7"/>
  <c r="F50" i="7" s="1"/>
  <c r="F53" i="7" s="1"/>
  <c r="J44" i="9"/>
  <c r="J45" i="9"/>
  <c r="F97" i="9"/>
  <c r="P96" i="9"/>
  <c r="P97" i="9" s="1"/>
  <c r="K42" i="9"/>
  <c r="K43" i="9" s="1"/>
  <c r="L41" i="9"/>
  <c r="F53" i="9"/>
  <c r="E101" i="9"/>
  <c r="F50" i="9"/>
  <c r="F51" i="9" s="1"/>
  <c r="M88" i="9"/>
  <c r="M89" i="9" s="1"/>
  <c r="N87" i="9"/>
  <c r="E51" i="9"/>
  <c r="P50" i="9"/>
  <c r="P51" i="9" s="1"/>
  <c r="I47" i="9"/>
  <c r="L90" i="9"/>
  <c r="L91" i="9"/>
  <c r="F99" i="9"/>
  <c r="Q47" i="8"/>
  <c r="Q89" i="8"/>
  <c r="Q90" i="8" s="1"/>
  <c r="R43" i="8"/>
  <c r="R44" i="8" s="1"/>
  <c r="I134" i="7"/>
  <c r="J133" i="7"/>
  <c r="H43" i="7"/>
  <c r="H73" i="7"/>
  <c r="H74" i="7"/>
  <c r="J85" i="7"/>
  <c r="J86" i="7" s="1"/>
  <c r="J70" i="7"/>
  <c r="J25" i="7"/>
  <c r="J26" i="7" s="1"/>
  <c r="G136" i="7"/>
  <c r="G137" i="7"/>
  <c r="G139" i="7" s="1"/>
  <c r="G140" i="7" s="1"/>
  <c r="I42" i="7"/>
  <c r="J41" i="7"/>
  <c r="H135" i="7"/>
  <c r="I116" i="7"/>
  <c r="I117" i="7" s="1"/>
  <c r="I118" i="7" s="1"/>
  <c r="Q118" i="7" s="1"/>
  <c r="Q119" i="7" s="1"/>
  <c r="I131" i="7"/>
  <c r="I132" i="7" s="1"/>
  <c r="I71" i="7"/>
  <c r="I72" i="7" s="1"/>
  <c r="E96" i="7"/>
  <c r="E99" i="7" s="1"/>
  <c r="G93" i="7"/>
  <c r="G94" i="7" s="1"/>
  <c r="H119" i="7"/>
  <c r="H120" i="7"/>
  <c r="I40" i="7"/>
  <c r="J39" i="7"/>
  <c r="I27" i="7"/>
  <c r="I28" i="7"/>
  <c r="Q26" i="7"/>
  <c r="Q27" i="7" s="1"/>
  <c r="P47" i="6"/>
  <c r="P46" i="6"/>
  <c r="M95" i="7" l="1"/>
  <c r="M141" i="7" s="1"/>
  <c r="N49" i="7"/>
  <c r="P139" i="7"/>
  <c r="F140" i="7"/>
  <c r="P140" i="7" s="1"/>
  <c r="J89" i="7"/>
  <c r="J91" i="7" s="1"/>
  <c r="I90" i="7"/>
  <c r="I91" i="7"/>
  <c r="Q91" i="7" s="1"/>
  <c r="P50" i="6"/>
  <c r="Q28" i="7"/>
  <c r="L87" i="7"/>
  <c r="K88" i="7"/>
  <c r="E142" i="7"/>
  <c r="E143" i="7" s="1"/>
  <c r="P91" i="6"/>
  <c r="P95" i="6" s="1"/>
  <c r="I43" i="7"/>
  <c r="Q43" i="7" s="1"/>
  <c r="Q44" i="7" s="1"/>
  <c r="I135" i="7"/>
  <c r="Q135" i="7" s="1"/>
  <c r="Q136" i="7" s="1"/>
  <c r="L93" i="9"/>
  <c r="R91" i="9"/>
  <c r="M90" i="9"/>
  <c r="M91" i="9"/>
  <c r="F101" i="9"/>
  <c r="G50" i="9"/>
  <c r="J47" i="9"/>
  <c r="L42" i="9"/>
  <c r="L43" i="9" s="1"/>
  <c r="M41" i="9"/>
  <c r="G96" i="9"/>
  <c r="K44" i="9"/>
  <c r="K45" i="9"/>
  <c r="K47" i="9" s="1"/>
  <c r="Q47" i="9"/>
  <c r="O87" i="9"/>
  <c r="O88" i="9" s="1"/>
  <c r="O89" i="9" s="1"/>
  <c r="N88" i="9"/>
  <c r="N89" i="9" s="1"/>
  <c r="Q91" i="8"/>
  <c r="F96" i="7"/>
  <c r="F97" i="7" s="1"/>
  <c r="I119" i="7"/>
  <c r="I120" i="7"/>
  <c r="H136" i="7"/>
  <c r="H137" i="7"/>
  <c r="H139" i="7" s="1"/>
  <c r="H140" i="7" s="1"/>
  <c r="J90" i="7"/>
  <c r="J40" i="7"/>
  <c r="K39" i="7"/>
  <c r="E97" i="7"/>
  <c r="P50" i="7"/>
  <c r="P51" i="7" s="1"/>
  <c r="F51" i="7"/>
  <c r="J27" i="7"/>
  <c r="J28" i="7"/>
  <c r="H44" i="7"/>
  <c r="H45" i="7"/>
  <c r="I73" i="7"/>
  <c r="I74" i="7"/>
  <c r="Q72" i="7"/>
  <c r="Q73" i="7" s="1"/>
  <c r="G50" i="7"/>
  <c r="G51" i="7" s="1"/>
  <c r="J131" i="7"/>
  <c r="J132" i="7" s="1"/>
  <c r="J116" i="7"/>
  <c r="J117" i="7" s="1"/>
  <c r="J118" i="7" s="1"/>
  <c r="J71" i="7"/>
  <c r="J72" i="7" s="1"/>
  <c r="J134" i="7"/>
  <c r="K133" i="7"/>
  <c r="K41" i="7"/>
  <c r="J42" i="7"/>
  <c r="K85" i="7"/>
  <c r="K86" i="7" s="1"/>
  <c r="K70" i="7"/>
  <c r="K25" i="7"/>
  <c r="K26" i="7" s="1"/>
  <c r="H93" i="7"/>
  <c r="H94" i="7" s="1"/>
  <c r="Q71" i="6"/>
  <c r="Q72" i="6" s="1"/>
  <c r="Q26" i="6"/>
  <c r="Q27" i="6" s="1"/>
  <c r="N95" i="7" l="1"/>
  <c r="N141" i="7" s="1"/>
  <c r="O49" i="7"/>
  <c r="O95" i="7" s="1"/>
  <c r="O141" i="7" s="1"/>
  <c r="I136" i="7"/>
  <c r="K89" i="7"/>
  <c r="K91" i="7" s="1"/>
  <c r="Q120" i="7"/>
  <c r="E145" i="7"/>
  <c r="E147" i="7" s="1"/>
  <c r="E149" i="7" s="1"/>
  <c r="I137" i="7"/>
  <c r="Q137" i="7" s="1"/>
  <c r="L88" i="7"/>
  <c r="M87" i="7"/>
  <c r="I45" i="7"/>
  <c r="I47" i="7" s="1"/>
  <c r="I48" i="7" s="1"/>
  <c r="I44" i="7"/>
  <c r="Q87" i="6"/>
  <c r="Q88" i="6" s="1"/>
  <c r="Q42" i="6"/>
  <c r="Q43" i="6" s="1"/>
  <c r="P96" i="7"/>
  <c r="P97" i="7" s="1"/>
  <c r="F99" i="7"/>
  <c r="N90" i="9"/>
  <c r="N91" i="9"/>
  <c r="N93" i="9" s="1"/>
  <c r="L44" i="9"/>
  <c r="L45" i="9"/>
  <c r="G51" i="9"/>
  <c r="R93" i="9"/>
  <c r="O90" i="9"/>
  <c r="O91" i="9"/>
  <c r="O93" i="9" s="1"/>
  <c r="R43" i="9"/>
  <c r="R44" i="9" s="1"/>
  <c r="G97" i="9"/>
  <c r="S89" i="9"/>
  <c r="S90" i="9" s="1"/>
  <c r="G99" i="9"/>
  <c r="R45" i="9"/>
  <c r="T89" i="9"/>
  <c r="T90" i="9" s="1"/>
  <c r="M42" i="9"/>
  <c r="M43" i="9" s="1"/>
  <c r="N41" i="9"/>
  <c r="G53" i="9"/>
  <c r="M93" i="9"/>
  <c r="T93" i="9" s="1"/>
  <c r="T91" i="9"/>
  <c r="R45" i="8"/>
  <c r="R89" i="8"/>
  <c r="R90" i="8" s="1"/>
  <c r="Q93" i="8"/>
  <c r="T43" i="8"/>
  <c r="T44" i="8" s="1"/>
  <c r="K116" i="7"/>
  <c r="K117" i="7" s="1"/>
  <c r="K118" i="7" s="1"/>
  <c r="K131" i="7"/>
  <c r="K132" i="7" s="1"/>
  <c r="K71" i="7"/>
  <c r="K72" i="7" s="1"/>
  <c r="J135" i="7"/>
  <c r="I93" i="7"/>
  <c r="Q74" i="7"/>
  <c r="J43" i="7"/>
  <c r="L70" i="7"/>
  <c r="L85" i="7"/>
  <c r="L86" i="7" s="1"/>
  <c r="L25" i="7"/>
  <c r="L26" i="7" s="1"/>
  <c r="R26" i="7" s="1"/>
  <c r="R27" i="7" s="1"/>
  <c r="G53" i="7"/>
  <c r="J73" i="7"/>
  <c r="J74" i="7"/>
  <c r="K27" i="7"/>
  <c r="K28" i="7"/>
  <c r="K42" i="7"/>
  <c r="L41" i="7"/>
  <c r="L133" i="7"/>
  <c r="K134" i="7"/>
  <c r="J119" i="7"/>
  <c r="J120" i="7"/>
  <c r="H47" i="7"/>
  <c r="H48" i="7" s="1"/>
  <c r="K40" i="7"/>
  <c r="L39" i="7"/>
  <c r="I139" i="7"/>
  <c r="Q89" i="6"/>
  <c r="F142" i="7" l="1"/>
  <c r="P142" i="7" s="1"/>
  <c r="P143" i="7" s="1"/>
  <c r="K90" i="7"/>
  <c r="L89" i="7"/>
  <c r="R89" i="7" s="1"/>
  <c r="R90" i="7" s="1"/>
  <c r="I94" i="7"/>
  <c r="Q94" i="7" s="1"/>
  <c r="Q139" i="7"/>
  <c r="I140" i="7"/>
  <c r="Q140" i="7" s="1"/>
  <c r="Q48" i="7"/>
  <c r="K43" i="7"/>
  <c r="K44" i="7" s="1"/>
  <c r="N87" i="7"/>
  <c r="M88" i="7"/>
  <c r="Q45" i="7"/>
  <c r="S43" i="8"/>
  <c r="S44" i="8" s="1"/>
  <c r="Q73" i="6"/>
  <c r="Q92" i="6"/>
  <c r="Q44" i="6"/>
  <c r="Q28" i="6"/>
  <c r="G96" i="7"/>
  <c r="G99" i="7" s="1"/>
  <c r="H96" i="7" s="1"/>
  <c r="N42" i="9"/>
  <c r="N43" i="9" s="1"/>
  <c r="O41" i="9"/>
  <c r="O42" i="9" s="1"/>
  <c r="O43" i="9" s="1"/>
  <c r="M44" i="9"/>
  <c r="S43" i="9"/>
  <c r="S44" i="9" s="1"/>
  <c r="M45" i="9"/>
  <c r="H50" i="9"/>
  <c r="G101" i="9"/>
  <c r="L47" i="9"/>
  <c r="S93" i="9"/>
  <c r="H96" i="9"/>
  <c r="S91" i="9"/>
  <c r="R93" i="8"/>
  <c r="R97" i="8" s="1"/>
  <c r="R47" i="8"/>
  <c r="K135" i="7"/>
  <c r="L42" i="7"/>
  <c r="M41" i="7"/>
  <c r="L27" i="7"/>
  <c r="L28" i="7"/>
  <c r="L40" i="7"/>
  <c r="M39" i="7"/>
  <c r="K45" i="7"/>
  <c r="K47" i="7" s="1"/>
  <c r="K48" i="7" s="1"/>
  <c r="L134" i="7"/>
  <c r="M133" i="7"/>
  <c r="J93" i="7"/>
  <c r="J94" i="7" s="1"/>
  <c r="L116" i="7"/>
  <c r="L117" i="7" s="1"/>
  <c r="L118" i="7" s="1"/>
  <c r="L131" i="7"/>
  <c r="L132" i="7" s="1"/>
  <c r="L71" i="7"/>
  <c r="L72" i="7" s="1"/>
  <c r="Q93" i="7"/>
  <c r="K119" i="7"/>
  <c r="K120" i="7"/>
  <c r="H50" i="7"/>
  <c r="J44" i="7"/>
  <c r="J45" i="7"/>
  <c r="J136" i="7"/>
  <c r="J137" i="7"/>
  <c r="Q47" i="7"/>
  <c r="M85" i="7"/>
  <c r="M86" i="7" s="1"/>
  <c r="M70" i="7"/>
  <c r="M25" i="7"/>
  <c r="M26" i="7" s="1"/>
  <c r="K73" i="7"/>
  <c r="K74" i="7"/>
  <c r="Q91" i="6"/>
  <c r="Q46" i="6"/>
  <c r="F145" i="7" l="1"/>
  <c r="F147" i="7" s="1"/>
  <c r="F149" i="7" s="1"/>
  <c r="F143" i="7"/>
  <c r="L90" i="7"/>
  <c r="L91" i="7"/>
  <c r="R91" i="7" s="1"/>
  <c r="M89" i="7"/>
  <c r="M91" i="7" s="1"/>
  <c r="R28" i="7"/>
  <c r="N88" i="7"/>
  <c r="O87" i="7"/>
  <c r="O88" i="7" s="1"/>
  <c r="J139" i="7"/>
  <c r="J140" i="7" s="1"/>
  <c r="R118" i="7"/>
  <c r="R119" i="7" s="1"/>
  <c r="R91" i="8"/>
  <c r="Q47" i="6"/>
  <c r="G97" i="7"/>
  <c r="H97" i="7"/>
  <c r="H99" i="7"/>
  <c r="I96" i="7" s="1"/>
  <c r="I97" i="7" s="1"/>
  <c r="L43" i="7"/>
  <c r="L44" i="7" s="1"/>
  <c r="H97" i="9"/>
  <c r="R47" i="9"/>
  <c r="H51" i="9"/>
  <c r="O44" i="9"/>
  <c r="O45" i="9"/>
  <c r="T43" i="9"/>
  <c r="T44" i="9" s="1"/>
  <c r="H99" i="9"/>
  <c r="H53" i="9"/>
  <c r="S45" i="9"/>
  <c r="M47" i="9"/>
  <c r="N44" i="9"/>
  <c r="N45" i="9"/>
  <c r="N47" i="9" s="1"/>
  <c r="T47" i="8"/>
  <c r="S45" i="8"/>
  <c r="S47" i="8"/>
  <c r="T45" i="8"/>
  <c r="M116" i="7"/>
  <c r="M117" i="7" s="1"/>
  <c r="M118" i="7" s="1"/>
  <c r="M131" i="7"/>
  <c r="M132" i="7" s="1"/>
  <c r="M71" i="7"/>
  <c r="M72" i="7" s="1"/>
  <c r="L73" i="7"/>
  <c r="L74" i="7"/>
  <c r="R72" i="7"/>
  <c r="R73" i="7" s="1"/>
  <c r="L119" i="7"/>
  <c r="L120" i="7"/>
  <c r="K93" i="7"/>
  <c r="K94" i="7" s="1"/>
  <c r="N70" i="7"/>
  <c r="P24" i="7"/>
  <c r="N85" i="7"/>
  <c r="N86" i="7" s="1"/>
  <c r="N25" i="7"/>
  <c r="N26" i="7" s="1"/>
  <c r="H51" i="7"/>
  <c r="J47" i="7"/>
  <c r="J48" i="7" s="1"/>
  <c r="H53" i="7"/>
  <c r="L135" i="7"/>
  <c r="R135" i="7" s="1"/>
  <c r="R136" i="7" s="1"/>
  <c r="M40" i="7"/>
  <c r="N39" i="7"/>
  <c r="M42" i="7"/>
  <c r="N41" i="7"/>
  <c r="M27" i="7"/>
  <c r="M28" i="7"/>
  <c r="M134" i="7"/>
  <c r="N133" i="7"/>
  <c r="K136" i="7"/>
  <c r="K137" i="7"/>
  <c r="K139" i="7" s="1"/>
  <c r="K140" i="7" s="1"/>
  <c r="R87" i="6"/>
  <c r="R88" i="6" s="1"/>
  <c r="R26" i="6"/>
  <c r="R27" i="6" s="1"/>
  <c r="G142" i="7" l="1"/>
  <c r="G143" i="7" s="1"/>
  <c r="M90" i="7"/>
  <c r="N89" i="7"/>
  <c r="N90" i="7" s="1"/>
  <c r="P70" i="7"/>
  <c r="Q24" i="7"/>
  <c r="P25" i="7"/>
  <c r="R43" i="7"/>
  <c r="R44" i="7" s="1"/>
  <c r="L45" i="7"/>
  <c r="R45" i="7" s="1"/>
  <c r="R120" i="7"/>
  <c r="R42" i="6"/>
  <c r="R43" i="6" s="1"/>
  <c r="R71" i="6"/>
  <c r="R72" i="6" s="1"/>
  <c r="M43" i="7"/>
  <c r="M45" i="7" s="1"/>
  <c r="O47" i="9"/>
  <c r="T45" i="9"/>
  <c r="H101" i="9"/>
  <c r="I50" i="9"/>
  <c r="I96" i="9"/>
  <c r="S89" i="8"/>
  <c r="S90" i="8" s="1"/>
  <c r="T89" i="8"/>
  <c r="T90" i="8" s="1"/>
  <c r="Q50" i="8"/>
  <c r="Q51" i="8" s="1"/>
  <c r="N27" i="7"/>
  <c r="N28" i="7"/>
  <c r="Q96" i="7"/>
  <c r="Q97" i="7" s="1"/>
  <c r="M73" i="7"/>
  <c r="M74" i="7"/>
  <c r="L136" i="7"/>
  <c r="L137" i="7"/>
  <c r="R137" i="7" s="1"/>
  <c r="O85" i="7"/>
  <c r="O86" i="7" s="1"/>
  <c r="O89" i="7" s="1"/>
  <c r="O70" i="7"/>
  <c r="O25" i="7"/>
  <c r="O26" i="7" s="1"/>
  <c r="L93" i="7"/>
  <c r="L94" i="7" s="1"/>
  <c r="R94" i="7" s="1"/>
  <c r="N134" i="7"/>
  <c r="O133" i="7"/>
  <c r="O134" i="7" s="1"/>
  <c r="O39" i="7"/>
  <c r="O40" i="7" s="1"/>
  <c r="N40" i="7"/>
  <c r="N91" i="7"/>
  <c r="M135" i="7"/>
  <c r="M119" i="7"/>
  <c r="M120" i="7"/>
  <c r="R74" i="7"/>
  <c r="N42" i="7"/>
  <c r="O41" i="7"/>
  <c r="O42" i="7" s="1"/>
  <c r="I50" i="7"/>
  <c r="N131" i="7"/>
  <c r="N132" i="7" s="1"/>
  <c r="N116" i="7"/>
  <c r="N117" i="7" s="1"/>
  <c r="N118" i="7" s="1"/>
  <c r="N71" i="7"/>
  <c r="N72" i="7" s="1"/>
  <c r="I99" i="7"/>
  <c r="R28" i="6"/>
  <c r="R89" i="6"/>
  <c r="G145" i="7" l="1"/>
  <c r="G147" i="7" s="1"/>
  <c r="G149" i="7" s="1"/>
  <c r="L47" i="7"/>
  <c r="Q70" i="7"/>
  <c r="R24" i="7"/>
  <c r="Q25" i="7"/>
  <c r="P116" i="7"/>
  <c r="P117" i="7" s="1"/>
  <c r="P71" i="7"/>
  <c r="N135" i="7"/>
  <c r="N136" i="7" s="1"/>
  <c r="M44" i="7"/>
  <c r="L139" i="7"/>
  <c r="R92" i="6"/>
  <c r="R73" i="6"/>
  <c r="R44" i="6"/>
  <c r="I51" i="9"/>
  <c r="Q50" i="9"/>
  <c r="Q51" i="9" s="1"/>
  <c r="T47" i="9"/>
  <c r="I97" i="9"/>
  <c r="Q96" i="9"/>
  <c r="Q97" i="9" s="1"/>
  <c r="S47" i="9"/>
  <c r="I99" i="9"/>
  <c r="I53" i="9"/>
  <c r="T93" i="8"/>
  <c r="T91" i="8"/>
  <c r="S91" i="8"/>
  <c r="I51" i="7"/>
  <c r="Q50" i="7"/>
  <c r="Q51" i="7" s="1"/>
  <c r="O27" i="7"/>
  <c r="O28" i="7"/>
  <c r="T26" i="7"/>
  <c r="T27" i="7" s="1"/>
  <c r="S26" i="7"/>
  <c r="S27" i="7" s="1"/>
  <c r="M136" i="7"/>
  <c r="M137" i="7"/>
  <c r="N43" i="7"/>
  <c r="R93" i="7"/>
  <c r="O90" i="7"/>
  <c r="O91" i="7"/>
  <c r="T91" i="7" s="1"/>
  <c r="T89" i="7"/>
  <c r="T90" i="7" s="1"/>
  <c r="S89" i="7"/>
  <c r="S90" i="7" s="1"/>
  <c r="N73" i="7"/>
  <c r="N74" i="7"/>
  <c r="J96" i="7"/>
  <c r="J99" i="7" s="1"/>
  <c r="I53" i="7"/>
  <c r="O43" i="7"/>
  <c r="N119" i="7"/>
  <c r="N120" i="7"/>
  <c r="O116" i="7"/>
  <c r="O117" i="7" s="1"/>
  <c r="O118" i="7" s="1"/>
  <c r="O131" i="7"/>
  <c r="O132" i="7" s="1"/>
  <c r="O135" i="7" s="1"/>
  <c r="O71" i="7"/>
  <c r="O72" i="7" s="1"/>
  <c r="M93" i="7"/>
  <c r="M94" i="7" s="1"/>
  <c r="M47" i="7"/>
  <c r="M48" i="7" s="1"/>
  <c r="S42" i="6"/>
  <c r="S43" i="6" s="1"/>
  <c r="R46" i="6"/>
  <c r="R47" i="6"/>
  <c r="H142" i="7" l="1"/>
  <c r="H143" i="7" s="1"/>
  <c r="T135" i="7"/>
  <c r="T136" i="7" s="1"/>
  <c r="R139" i="7"/>
  <c r="L140" i="7"/>
  <c r="R140" i="7" s="1"/>
  <c r="R47" i="7"/>
  <c r="L48" i="7"/>
  <c r="R48" i="7" s="1"/>
  <c r="S24" i="7"/>
  <c r="R70" i="7"/>
  <c r="R25" i="7"/>
  <c r="Q116" i="7"/>
  <c r="Q117" i="7" s="1"/>
  <c r="Q71" i="7"/>
  <c r="S135" i="7"/>
  <c r="S136" i="7" s="1"/>
  <c r="N137" i="7"/>
  <c r="N139" i="7" s="1"/>
  <c r="N140" i="7" s="1"/>
  <c r="M139" i="7"/>
  <c r="M140" i="7" s="1"/>
  <c r="T118" i="7"/>
  <c r="T119" i="7" s="1"/>
  <c r="S118" i="7"/>
  <c r="S119" i="7" s="1"/>
  <c r="T42" i="6"/>
  <c r="T43" i="6" s="1"/>
  <c r="R91" i="6"/>
  <c r="Q49" i="6"/>
  <c r="Q50" i="6" s="1"/>
  <c r="S91" i="7"/>
  <c r="J50" i="9"/>
  <c r="I101" i="9"/>
  <c r="J96" i="9"/>
  <c r="J99" i="9"/>
  <c r="Q97" i="8"/>
  <c r="S93" i="8"/>
  <c r="S97" i="8" s="1"/>
  <c r="N44" i="7"/>
  <c r="N45" i="7"/>
  <c r="S43" i="7"/>
  <c r="S44" i="7" s="1"/>
  <c r="O136" i="7"/>
  <c r="O137" i="7"/>
  <c r="K96" i="7"/>
  <c r="K97" i="7" s="1"/>
  <c r="N93" i="7"/>
  <c r="N94" i="7" s="1"/>
  <c r="O119" i="7"/>
  <c r="O120" i="7"/>
  <c r="T28" i="7"/>
  <c r="S28" i="7"/>
  <c r="J50" i="7"/>
  <c r="J53" i="7" s="1"/>
  <c r="O73" i="7"/>
  <c r="O74" i="7"/>
  <c r="T72" i="7"/>
  <c r="T73" i="7" s="1"/>
  <c r="O44" i="7"/>
  <c r="O45" i="7"/>
  <c r="O47" i="7" s="1"/>
  <c r="O48" i="7" s="1"/>
  <c r="T43" i="7"/>
  <c r="T44" i="7" s="1"/>
  <c r="J97" i="7"/>
  <c r="S72" i="7"/>
  <c r="S73" i="7" s="1"/>
  <c r="T71" i="6"/>
  <c r="T72" i="6" s="1"/>
  <c r="S87" i="6"/>
  <c r="S88" i="6" s="1"/>
  <c r="T26" i="6"/>
  <c r="T27" i="6" s="1"/>
  <c r="T44" i="6"/>
  <c r="H145" i="7" l="1"/>
  <c r="H147" i="7" s="1"/>
  <c r="H149" i="7" s="1"/>
  <c r="T120" i="7"/>
  <c r="R116" i="7"/>
  <c r="R117" i="7" s="1"/>
  <c r="R71" i="7"/>
  <c r="T137" i="7"/>
  <c r="T24" i="7"/>
  <c r="S70" i="7"/>
  <c r="S25" i="7"/>
  <c r="S137" i="7"/>
  <c r="S120" i="7"/>
  <c r="S71" i="6"/>
  <c r="S72" i="6" s="1"/>
  <c r="S44" i="6"/>
  <c r="T87" i="6"/>
  <c r="T88" i="6" s="1"/>
  <c r="S26" i="6"/>
  <c r="S27" i="6" s="1"/>
  <c r="K99" i="7"/>
  <c r="L96" i="7" s="1"/>
  <c r="J51" i="9"/>
  <c r="K96" i="9"/>
  <c r="K97" i="9" s="1"/>
  <c r="J53" i="9"/>
  <c r="J97" i="9"/>
  <c r="R50" i="8"/>
  <c r="R51" i="8" s="1"/>
  <c r="J51" i="7"/>
  <c r="O139" i="7"/>
  <c r="O140" i="7" s="1"/>
  <c r="T140" i="7" s="1"/>
  <c r="K50" i="7"/>
  <c r="K51" i="7" s="1"/>
  <c r="S45" i="7"/>
  <c r="N47" i="7"/>
  <c r="T45" i="7"/>
  <c r="O93" i="7"/>
  <c r="O94" i="7" s="1"/>
  <c r="T94" i="7" s="1"/>
  <c r="T74" i="7"/>
  <c r="S74" i="7"/>
  <c r="T92" i="6"/>
  <c r="I142" i="7" l="1"/>
  <c r="Q142" i="7" s="1"/>
  <c r="Q143" i="7" s="1"/>
  <c r="T47" i="7"/>
  <c r="N48" i="7"/>
  <c r="T70" i="7"/>
  <c r="T25" i="7"/>
  <c r="S116" i="7"/>
  <c r="S117" i="7" s="1"/>
  <c r="S71" i="7"/>
  <c r="T28" i="6"/>
  <c r="S47" i="6"/>
  <c r="S139" i="7"/>
  <c r="T139" i="7"/>
  <c r="S140" i="7"/>
  <c r="S92" i="6"/>
  <c r="T73" i="6"/>
  <c r="S73" i="6"/>
  <c r="T89" i="6"/>
  <c r="S89" i="6"/>
  <c r="S28" i="6"/>
  <c r="J101" i="9"/>
  <c r="K53" i="9"/>
  <c r="K50" i="9"/>
  <c r="K99" i="9"/>
  <c r="S47" i="7"/>
  <c r="L97" i="7"/>
  <c r="R96" i="7"/>
  <c r="R97" i="7" s="1"/>
  <c r="T93" i="7"/>
  <c r="S93" i="7"/>
  <c r="K53" i="7"/>
  <c r="L99" i="7"/>
  <c r="S94" i="7"/>
  <c r="I143" i="7" l="1"/>
  <c r="I145" i="7"/>
  <c r="I147" i="7" s="1"/>
  <c r="I149" i="7" s="1"/>
  <c r="T48" i="7"/>
  <c r="S48" i="7"/>
  <c r="T116" i="7"/>
  <c r="T117" i="7" s="1"/>
  <c r="T71" i="7"/>
  <c r="S46" i="6"/>
  <c r="S49" i="6"/>
  <c r="T47" i="6"/>
  <c r="T91" i="6"/>
  <c r="S91" i="6"/>
  <c r="T46" i="6"/>
  <c r="K101" i="9"/>
  <c r="L50" i="9"/>
  <c r="L51" i="9" s="1"/>
  <c r="L96" i="9"/>
  <c r="L99" i="9"/>
  <c r="K51" i="9"/>
  <c r="R50" i="9"/>
  <c r="R51" i="9" s="1"/>
  <c r="M96" i="7"/>
  <c r="L50" i="7"/>
  <c r="L53" i="7" s="1"/>
  <c r="J142" i="7" l="1"/>
  <c r="J145" i="7" s="1"/>
  <c r="J147" i="7" s="1"/>
  <c r="J149" i="7" s="1"/>
  <c r="Q94" i="6"/>
  <c r="Q95" i="6" s="1"/>
  <c r="L53" i="9"/>
  <c r="M96" i="9"/>
  <c r="L97" i="9"/>
  <c r="R96" i="9"/>
  <c r="R97" i="9" s="1"/>
  <c r="M50" i="7"/>
  <c r="M53" i="7" s="1"/>
  <c r="M97" i="7"/>
  <c r="L51" i="7"/>
  <c r="R50" i="7"/>
  <c r="R51" i="7" s="1"/>
  <c r="M99" i="7"/>
  <c r="K142" i="7" l="1"/>
  <c r="K143" i="7" s="1"/>
  <c r="J143" i="7"/>
  <c r="M97" i="9"/>
  <c r="M99" i="9"/>
  <c r="L101" i="9"/>
  <c r="M50" i="9"/>
  <c r="M53" i="9"/>
  <c r="T50" i="8"/>
  <c r="T51" i="8" s="1"/>
  <c r="S51" i="8"/>
  <c r="N50" i="7"/>
  <c r="N51" i="7" s="1"/>
  <c r="N96" i="7"/>
  <c r="M51" i="7"/>
  <c r="K145" i="7" l="1"/>
  <c r="K147" i="7" s="1"/>
  <c r="K149" i="7" s="1"/>
  <c r="R49" i="6"/>
  <c r="R50" i="6" s="1"/>
  <c r="N96" i="9"/>
  <c r="N53" i="9"/>
  <c r="N50" i="9"/>
  <c r="N51" i="9" s="1"/>
  <c r="M101" i="9"/>
  <c r="M51" i="9"/>
  <c r="N53" i="7"/>
  <c r="N97" i="7"/>
  <c r="N99" i="7"/>
  <c r="L142" i="7" l="1"/>
  <c r="L143" i="7" s="1"/>
  <c r="O50" i="9"/>
  <c r="N97" i="9"/>
  <c r="N99" i="9"/>
  <c r="O50" i="7"/>
  <c r="O53" i="7" s="1"/>
  <c r="O96" i="7"/>
  <c r="L145" i="7" l="1"/>
  <c r="L147" i="7" s="1"/>
  <c r="L149" i="7" s="1"/>
  <c r="R142" i="7"/>
  <c r="R143" i="7" s="1"/>
  <c r="O51" i="9"/>
  <c r="T50" i="9"/>
  <c r="T51" i="9" s="1"/>
  <c r="S50" i="9"/>
  <c r="S51" i="9" s="1"/>
  <c r="O96" i="9"/>
  <c r="O99" i="9"/>
  <c r="O53" i="9"/>
  <c r="O101" i="9" s="1"/>
  <c r="N101" i="9"/>
  <c r="T96" i="7"/>
  <c r="T97" i="7" s="1"/>
  <c r="O97" i="7"/>
  <c r="S96" i="7"/>
  <c r="S97" i="7" s="1"/>
  <c r="O99" i="7"/>
  <c r="T50" i="7"/>
  <c r="T51" i="7" s="1"/>
  <c r="O51" i="7"/>
  <c r="S50" i="7"/>
  <c r="S51" i="7" s="1"/>
  <c r="M142" i="7" l="1"/>
  <c r="M145" i="7" s="1"/>
  <c r="M147" i="7" s="1"/>
  <c r="M149" i="7" s="1"/>
  <c r="T97" i="8"/>
  <c r="R94" i="6"/>
  <c r="R95" i="6" s="1"/>
  <c r="T49" i="6"/>
  <c r="T50" i="6" s="1"/>
  <c r="S50" i="6"/>
  <c r="O97" i="9"/>
  <c r="T96" i="9"/>
  <c r="T97" i="9" s="1"/>
  <c r="S96" i="9"/>
  <c r="S97" i="9" s="1"/>
  <c r="M143" i="7" l="1"/>
  <c r="N142" i="7"/>
  <c r="N143" i="7" s="1"/>
  <c r="N145" i="7" l="1"/>
  <c r="N147" i="7" s="1"/>
  <c r="N149" i="7" s="1"/>
  <c r="T94" i="6"/>
  <c r="T95" i="6" s="1"/>
  <c r="S94" i="6"/>
  <c r="S95" i="6" s="1"/>
  <c r="O142" i="7" l="1"/>
  <c r="T142" i="7" s="1"/>
  <c r="T143" i="7" s="1"/>
  <c r="O145" i="7" l="1"/>
  <c r="O147" i="7" s="1"/>
  <c r="O149" i="7" s="1"/>
  <c r="S142" i="7"/>
  <c r="S143" i="7" s="1"/>
  <c r="O143" i="7"/>
</calcChain>
</file>

<file path=xl/sharedStrings.xml><?xml version="1.0" encoding="utf-8"?>
<sst xmlns="http://schemas.openxmlformats.org/spreadsheetml/2006/main" count="787" uniqueCount="181">
  <si>
    <t>Avista Utilities</t>
  </si>
  <si>
    <t>Line No.</t>
  </si>
  <si>
    <t>Source</t>
  </si>
  <si>
    <t>Total</t>
  </si>
  <si>
    <t>(a)</t>
  </si>
  <si>
    <t>(b)</t>
  </si>
  <si>
    <t>(c)</t>
  </si>
  <si>
    <t>(d)</t>
  </si>
  <si>
    <t>(e)</t>
  </si>
  <si>
    <t>(f)</t>
  </si>
  <si>
    <t>(g)</t>
  </si>
  <si>
    <t>(h)</t>
  </si>
  <si>
    <t>(i)</t>
  </si>
  <si>
    <t>(j)</t>
  </si>
  <si>
    <t>(k)</t>
  </si>
  <si>
    <t>(l)</t>
  </si>
  <si>
    <t>(m)</t>
  </si>
  <si>
    <t>(n)</t>
  </si>
  <si>
    <t>(o)</t>
  </si>
  <si>
    <t>Residential Group</t>
  </si>
  <si>
    <t>Actual Fixed Charge Revenue</t>
  </si>
  <si>
    <t>Residential Revenue Per Customer Received</t>
  </si>
  <si>
    <t>Deferral - Revenue Related Expenses</t>
  </si>
  <si>
    <t>Rev Conv Factor</t>
  </si>
  <si>
    <t>Interest on Deferral</t>
  </si>
  <si>
    <t>Monthly Residential Deferral Totals</t>
  </si>
  <si>
    <t>Non-Residential Group</t>
  </si>
  <si>
    <t>Non-Residential Revenue Per Customer Received</t>
  </si>
  <si>
    <t>Avg Balance Calc</t>
  </si>
  <si>
    <t>Monthly Non-Residential Deferral Totals</t>
  </si>
  <si>
    <t>Actual Base Rate Revenue</t>
  </si>
  <si>
    <t>Balance Sheet Accounts</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</si>
  <si>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</si>
  <si>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</si>
  <si>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</si>
  <si>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</si>
  <si>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</si>
  <si>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</si>
  <si>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</si>
  <si>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</si>
  <si>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</si>
  <si>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</si>
  <si>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</si>
  <si>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</si>
  <si>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</si>
  <si>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283328</t>
  </si>
  <si>
    <t>ADFIT DECOUPLING DEFERRED REV</t>
  </si>
  <si>
    <t>Income Statement Accounts</t>
  </si>
  <si>
    <t>Check</t>
  </si>
  <si>
    <t>NOTES</t>
  </si>
  <si>
    <t>456328</t>
  </si>
  <si>
    <t>RESIDENTIAL DECOUPLING DEFERRE</t>
  </si>
  <si>
    <t>456338</t>
  </si>
  <si>
    <t>NON-RES DECOUPLING DEFERRED RE</t>
  </si>
  <si>
    <t>495328</t>
  </si>
  <si>
    <t>495338</t>
  </si>
  <si>
    <t>Electric Residential</t>
  </si>
  <si>
    <t>Change in Use per Customer</t>
  </si>
  <si>
    <t>Q1</t>
  </si>
  <si>
    <t>Q2</t>
  </si>
  <si>
    <t>%</t>
  </si>
  <si>
    <t>Electric Non-Residential</t>
  </si>
  <si>
    <t>Natural Gas Residential</t>
  </si>
  <si>
    <t>Natural Gas Non-Residential</t>
  </si>
  <si>
    <t>Deferral per Average Customer</t>
  </si>
  <si>
    <t>Q3</t>
  </si>
  <si>
    <t>Q4</t>
  </si>
  <si>
    <t>2016 YTD</t>
  </si>
  <si>
    <t>2nd Quarter 2016</t>
  </si>
  <si>
    <t>3rd Quarter 2016</t>
  </si>
  <si>
    <t>4th Quarter 2016</t>
  </si>
  <si>
    <t>1st Quarter 2016</t>
  </si>
  <si>
    <t>Electric Fixed Cost Adjustment Mechanism (Idaho)</t>
  </si>
  <si>
    <t>Revised</t>
  </si>
  <si>
    <t>Total Actual Billed Customers</t>
  </si>
  <si>
    <t>Revenue Reports</t>
  </si>
  <si>
    <t>Total Actual Usage (kWhs)</t>
  </si>
  <si>
    <t>Total Actual Base Rate Revenue</t>
  </si>
  <si>
    <t>Total Actual Fixed Charge Revenue</t>
  </si>
  <si>
    <t>Existing Customers</t>
  </si>
  <si>
    <t>Actual Customers on System During Test Year</t>
  </si>
  <si>
    <t>Monthly Fixed Cost Adj. Revenue per Customer</t>
  </si>
  <si>
    <t>Page 3</t>
  </si>
  <si>
    <t>Fixed Cost Adjustment Revenue</t>
  </si>
  <si>
    <t>Actual Usage (kWhs)</t>
  </si>
  <si>
    <t>Load Change Adjustment Rate ($/kWh)</t>
  </si>
  <si>
    <t>Page 1</t>
  </si>
  <si>
    <t>Variable Power Supply Revenue</t>
  </si>
  <si>
    <t>Customer Fixed Cost Adjustment Revenue</t>
  </si>
  <si>
    <t>Existing Customer Deferral - Surcharge (Rebate)</t>
  </si>
  <si>
    <t>New Customers</t>
  </si>
  <si>
    <t>Actual Customers New Since Test Year</t>
  </si>
  <si>
    <t>Fixed Production and Transmission Rate per kWh</t>
  </si>
  <si>
    <t xml:space="preserve">Page 1 </t>
  </si>
  <si>
    <t>Fixed Production and Transmission Revenue</t>
  </si>
  <si>
    <t>New Customer Deferral - Surcharge (Rebate)</t>
  </si>
  <si>
    <t>Total Residential Deferral - Surcharge (Rebate)</t>
  </si>
  <si>
    <t>Customer Deposit Rate</t>
  </si>
  <si>
    <t>Cumulative Residential Deferral (Rebate)/Surcharge</t>
  </si>
  <si>
    <t>Page 1 wtd avg</t>
  </si>
  <si>
    <t>Total Non-Residential Deferral - Surcharge (Rebate)</t>
  </si>
  <si>
    <t>Cumulative Non-Residential Deferral (Rebate)/Surcharge</t>
  </si>
  <si>
    <t>Total Cumulative Deferral</t>
  </si>
  <si>
    <t>Schedule 11/12</t>
  </si>
  <si>
    <t>Schedule 21/22</t>
  </si>
  <si>
    <t>Schedule 31/32</t>
  </si>
  <si>
    <t>Total Schedule 11/12 Deferral - Surcharge (Rebate)</t>
  </si>
  <si>
    <t>Monthly Schedule 11/12 Deferral Totals</t>
  </si>
  <si>
    <t>Cumulative Schedule 11/12 Deferral (Rebate)/Surcharge</t>
  </si>
  <si>
    <t>Total Schedule 21/22 Deferral - Surcharge (Rebate)</t>
  </si>
  <si>
    <t>Monthly Schedule 21/22 Deferral Totals</t>
  </si>
  <si>
    <t>Cumulative Schedule 21/22 Deferral (Rebate)/Surcharge</t>
  </si>
  <si>
    <t>Total Schedule 31/32 Deferral - Surcharge (Rebate)</t>
  </si>
  <si>
    <t>Monthly Schedule 31/32 Deferral Totals</t>
  </si>
  <si>
    <t>Cumulative Schedule 31/32 Deferral (Rebate)/Surcharge</t>
  </si>
  <si>
    <t>Total Cumulative Non-Residential Deferral if calculated by Schedule</t>
  </si>
  <si>
    <t>Natural Gas Fixed Cost Adjustment Mechanism (Idaho)</t>
  </si>
  <si>
    <t>AVU-G-15-01 FCA Base - Rates Effective 1/1/2016</t>
  </si>
  <si>
    <t>Total Actual Usage (Therms)</t>
  </si>
  <si>
    <t>Actual Usage (Therms)</t>
  </si>
  <si>
    <t>Fixed Production and UG Storage Rate per Therm</t>
  </si>
  <si>
    <t>Fixed Production and UG Storage Revenue</t>
  </si>
  <si>
    <t>(p)</t>
  </si>
  <si>
    <t>(q)</t>
  </si>
  <si>
    <t>(r)</t>
  </si>
  <si>
    <t>(s)</t>
  </si>
  <si>
    <t>Non-Residential by Schedule Natural Gas Deferral Scenario (Calendar Year 2016)</t>
  </si>
  <si>
    <t>Non-Residential Only includes Schedule 111/112, no difference from Actual deferral</t>
  </si>
  <si>
    <t>Jurisdiction:ID</t>
  </si>
  <si>
    <t>FCA Deferred Revenue</t>
  </si>
  <si>
    <t>Change in FCA Revenue per Customer</t>
  </si>
  <si>
    <t>253311</t>
  </si>
  <si>
    <t>CONTRA DECOUPLING DEFERRED REV</t>
  </si>
  <si>
    <t>495311</t>
  </si>
  <si>
    <t>CONTRA DECOUPLING DEFERRAL</t>
  </si>
  <si>
    <t>Financial Reporting Contra Asset Accounts</t>
  </si>
  <si>
    <t>Summarized Quarterly and Year to Date Use per Customer and Fixed Cost Adjustment Revenue</t>
  </si>
  <si>
    <t>Per Customer.  Change versus Authorized</t>
  </si>
  <si>
    <t>Accumulated Deferred Income Tax</t>
  </si>
  <si>
    <t>Deferred Revenue</t>
  </si>
  <si>
    <t>Interest Expense/Income</t>
  </si>
  <si>
    <t>253312</t>
  </si>
  <si>
    <t>CONTRA DECOUPLED DEFERRED REVE</t>
  </si>
  <si>
    <t>456311</t>
  </si>
  <si>
    <t>182329</t>
  </si>
  <si>
    <t>REG ASSET- DECOUPLING PRIOR YE</t>
  </si>
  <si>
    <t>182339</t>
  </si>
  <si>
    <t>REG ASSET - NON RES DECOUPLING</t>
  </si>
  <si>
    <t>Prior Year FCA</t>
  </si>
  <si>
    <t>YTD wtd Average</t>
  </si>
  <si>
    <t>REG ASSET- DECOUPLING SURCHARG</t>
  </si>
  <si>
    <t>Deferred Revenue Approved for Recovery</t>
  </si>
  <si>
    <t>AMORTIZATION RES DECOUPLING DE</t>
  </si>
  <si>
    <t>AMORTIZATION NON-RES DECOUPLIN</t>
  </si>
  <si>
    <t>Amort of Prior Period Deferred Revenue</t>
  </si>
  <si>
    <t>2)  If the FCA mechanism had been determined by schedule the electric residential and both natural gas groups would not change.  The electric non-residential group would consist of three separate rate schedule groups.  Pages 10 through 12 of this report show the illustrative calculations for the electric non-residential group on a by schedule basis.</t>
  </si>
  <si>
    <t>Surcharge</t>
  </si>
  <si>
    <t>Rebate</t>
  </si>
  <si>
    <t>REG LIABILITY DECOUPLING REBAT</t>
  </si>
  <si>
    <t>REG LIABILITY NON RES DECOUPLI</t>
  </si>
  <si>
    <t xml:space="preserve">INTEREST INCOME - DECOUPLING		</t>
  </si>
  <si>
    <t xml:space="preserve">INTEREST EXPENSE - DECOUPLING	</t>
  </si>
  <si>
    <t>Development of Electric Deferrals (Calendar Year 2019)</t>
  </si>
  <si>
    <t>With Sch 72 Tax Reform Adj - Rates Effective 1/1/2019</t>
  </si>
  <si>
    <t xml:space="preserve">AVU-E-17-01 FCA Base - Rates Effective 1/1/2019, 
</t>
  </si>
  <si>
    <t>1st Quarter 2019</t>
  </si>
  <si>
    <t>2nd Quarter 2019</t>
  </si>
  <si>
    <t>3rd Quarter 2019</t>
  </si>
  <si>
    <t>4th Quarter 2019</t>
  </si>
  <si>
    <t>2019 YTD</t>
  </si>
  <si>
    <t>Development of Natural Gas Deferrals (Calendar Year 2019)</t>
  </si>
  <si>
    <t>With Sch 172 Tax Reform Adj - Rates Effective 1/1/2019</t>
  </si>
  <si>
    <t xml:space="preserve">AVU-G-17-01 FCA Base - Rates Effective 1/1/2019, 
</t>
  </si>
  <si>
    <t>Non-Residential by Schedule Electric Deferral Scenario (Calendar Year 2019)</t>
  </si>
  <si>
    <t>AVU-E-17-01 FCA Base - Rates Effective 1/1/2019</t>
  </si>
  <si>
    <t xml:space="preserve">1)  The following table shows how the decoupled revenue per customer has tracked with use per customer for each quarter of 2019.   The similarity of the percentage change indicates that the mechanism is working as intended.   </t>
  </si>
  <si>
    <t>GL Account Balance  Accounting Period : '201904, 201905, 201906'</t>
  </si>
  <si>
    <t>201904</t>
  </si>
  <si>
    <t>201905</t>
  </si>
  <si>
    <t>201906</t>
  </si>
  <si>
    <t>3)  The contra asset accounting shown on page 8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2019 surcharge may not be fully recovered by 12/31/2021 and therefore would not be recognizable as income for financial reporting purposes in 2019.  The income statement impact of any contra deferral entries will be eliminated for normalized Idaho results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</si>
</sst>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_);_(&quot;$&quot;* \(#,##0.00000\);_(&quot;$&quot;* &quot;-&quot;??_);_(@_)"/>
    <numFmt numFmtId="169" formatCode="_(* #,##0.000000_);_(* \(#,##0.000000\);_(* &quot;-&quot;??_);_(@_)"/>
    <numFmt numFmtId="170" formatCode="###,###,##0.00"/>
    <numFmt numFmtId="171" formatCode="#,###,###,##0.00"/>
    <numFmt numFmtId="172" formatCode="###,###,##0.00;\-###,###,##0.00"/>
    <numFmt numFmtId="173" formatCode="0.000000"/>
    <numFmt numFmtId="174" formatCode="_(* #,##0.00000_);_(* \(#,##0.00000\);_(* &quot;-&quot;??_);_(@_)"/>
    <numFmt numFmtId="175" formatCode="0.0000000"/>
    <numFmt numFmtId="176" formatCode="0000"/>
    <numFmt numFmtId="177" formatCode="000000"/>
    <numFmt numFmtId="178" formatCode="d\.mmm\.yy"/>
    <numFmt numFmtId="179" formatCode="_-* #,##0.00\ _D_M_-;\-* #,##0.00\ _D_M_-;_-* &quot;-&quot;??\ _D_M_-;_-@_-"/>
    <numFmt numFmtId="180" formatCode="_(* #,##0.000_);_(* \(#,##0.000\);_(* &quot;-&quot;??_);_(@_)"/>
    <numFmt numFmtId="181" formatCode="#."/>
    <numFmt numFmtId="182" formatCode="_-* #,##0.00\ &quot;DM&quot;_-;\-* #,##0.00\ &quot;DM&quot;_-;_-* &quot;-&quot;??\ &quot;DM&quot;_-;_-@_-"/>
    <numFmt numFmtId="183" formatCode="_(* ###0_);_(* \(###0\);_(* &quot;-&quot;_);_(@_)"/>
    <numFmt numFmtId="184" formatCode="&quot;$&quot;#,##0\ ;\(&quot;$&quot;#,##0\)"/>
    <numFmt numFmtId="185" formatCode="mmmm\ d\,\ yyyy"/>
    <numFmt numFmtId="186" formatCode="[Blue]#,##0_);[Magenta]\(#,##0\)"/>
    <numFmt numFmtId="187" formatCode="_([$€-2]* #,##0.00_);_([$€-2]* \(#,##0.00\);_([$€-2]* &quot;-&quot;??_)"/>
    <numFmt numFmtId="188" formatCode="_(&quot;$&quot;* #,##0.0_);_(&quot;$&quot;* \(#,##0.0\);_(&quot;$&quot;* &quot;-&quot;??_);_(@_)"/>
    <numFmt numFmtId="189" formatCode="0.0000_);\(0.0000\)"/>
    <numFmt numFmtId="190" formatCode="0.00_)"/>
    <numFmt numFmtId="191" formatCode="&quot;$&quot;#,##0;\-&quot;$&quot;#,##0"/>
    <numFmt numFmtId="192" formatCode="_(&quot;$&quot;* #,##0.000000_);_(&quot;$&quot;* \(#,##0.000000\);_(&quot;$&quot;* &quot;-&quot;??????_);_(@_)"/>
    <numFmt numFmtId="193" formatCode="#,##0.00\ ;\(#,##0.00\)"/>
    <numFmt numFmtId="194" formatCode="0\ &quot; HR&quot;"/>
    <numFmt numFmtId="195" formatCode="0000000"/>
    <numFmt numFmtId="196" formatCode="0.0000%"/>
    <numFmt numFmtId="197" formatCode="0.00000%"/>
    <numFmt numFmtId="198" formatCode="mmm\-yyyy"/>
    <numFmt numFmtId="199" formatCode="_(&quot;$&quot;* #,##0.000_);_(&quot;$&quot;* \(#,##0.000\);_(&quot;$&quot;* &quot;-&quot;??_);_(@_)"/>
    <numFmt numFmtId="200" formatCode="m/yy"/>
    <numFmt numFmtId="201" formatCode="_(&quot;$&quot;* #,##0.0000_);_(&quot;$&quot;* \(#,##0.0000\);_(&quot;$&quot;* &quot;-&quot;????_);_(@_)"/>
    <numFmt numFmtId="202" formatCode="0.0%"/>
    <numFmt numFmtId="203" formatCode="_(* #,##0.0_);_(* \(#,##0.0\);_(* &quot;-&quot;_);_(@_)"/>
    <numFmt numFmtId="204" formatCode="0.000%"/>
    <numFmt numFmtId="205" formatCode="[$-F800]dddd\,\ mmmm\ dd\,\ yyyy"/>
    <numFmt numFmtId="206" formatCode="[$-409]mmmm\-yy;@"/>
    <numFmt numFmtId="207" formatCode="#,##0_%_);\(#,##0\)_%;#,##0_%_);@_%_)"/>
    <numFmt numFmtId="208" formatCode="_._.* #,##0.0_)_%;_._.* \(#,##0.0\)_%"/>
    <numFmt numFmtId="209" formatCode="_._.* #,##0.00_)_%;_._.* \(#,##0.00\)_%"/>
    <numFmt numFmtId="210" formatCode="_._.* #,##0.000_)_%;_._.* \(#,##0.000\)_%"/>
    <numFmt numFmtId="211" formatCode="_(* #,##0.00_);_(* \(\ #,##0.00\ \);_(* &quot;-&quot;??_);_(\ @_ \)"/>
    <numFmt numFmtId="212" formatCode="_._.* #,##0_)_%;_._.* #,##0_)_%;_._.* 0_)_%;_._.@_)_%"/>
    <numFmt numFmtId="213" formatCode="_._.&quot;$&quot;* #,##0.0_)_%;_._.&quot;$&quot;* \(#,##0.0\)_%"/>
    <numFmt numFmtId="214" formatCode="_._.&quot;$&quot;* #,##0.00_)_%;_._.&quot;$&quot;* \(#,##0.00\)_%"/>
    <numFmt numFmtId="215" formatCode="_._.&quot;$&quot;* #,##0.000_)_%;_._.&quot;$&quot;* \(#,##0.000\)_%"/>
    <numFmt numFmtId="216" formatCode="_._.&quot;$&quot;* #,###_)_%;_._.&quot;$&quot;* #,###_)_%;_._.&quot;$&quot;* 0_)_%;_._.@_)_%"/>
    <numFmt numFmtId="217" formatCode="#,###,##0.00;\(#,###,##0.00\)"/>
    <numFmt numFmtId="218" formatCode="#,###,##0;\(#,###,##0\)"/>
    <numFmt numFmtId="219" formatCode="0.0"/>
    <numFmt numFmtId="220" formatCode="&quot;$&quot;#,###,##0.00;\(&quot;$&quot;#,###,##0.00\)"/>
    <numFmt numFmtId="221" formatCode="&quot;$&quot;#,###,##0;\(&quot;$&quot;#,###,##0\)"/>
    <numFmt numFmtId="222" formatCode="#,##0.00%;\(#,##0.00%\)"/>
    <numFmt numFmtId="223" formatCode="_(0_)%;\(0\)%"/>
    <numFmt numFmtId="224" formatCode="_._._(* 0_)%;_._.* \(0\)%"/>
    <numFmt numFmtId="225" formatCode="_(0.0_)%;\(0.0\)%"/>
    <numFmt numFmtId="226" formatCode="_._._(* 0.0_)%;_._.* \(0.0\)%"/>
    <numFmt numFmtId="227" formatCode="_(0.00_)%;\(0.00\)%"/>
    <numFmt numFmtId="228" formatCode="_._._(* 0.00_)%;_._.* \(0.00\)%"/>
    <numFmt numFmtId="229" formatCode="_(0.000_)%;\(0.000\)%"/>
    <numFmt numFmtId="230" formatCode="_._._(* 0.000_)%;_._.* \(0.000\)%"/>
    <numFmt numFmtId="231" formatCode="_(0.0000_)%;\(0.0000\)%"/>
    <numFmt numFmtId="232" formatCode="_._._(* 0.0000_)%;_._.* \(0.0000\)%"/>
    <numFmt numFmtId="233" formatCode="_(* #,##0_);_(* \(#,##0\);_(* 0_);_(@_)"/>
    <numFmt numFmtId="234" formatCode="_(* #,##0.0_);_(* \(#,##0.0\)"/>
    <numFmt numFmtId="235" formatCode="_(* #,##0.00_);_(* \(#,##0.00\)"/>
    <numFmt numFmtId="236" formatCode="_(* #,##0.000_);_(* \(#,##0.000\)"/>
    <numFmt numFmtId="237" formatCode="_(&quot;$&quot;* #,##0_);_(&quot;$&quot;* \(#,##0\);_(&quot;$&quot;* 0_);_(@_)"/>
    <numFmt numFmtId="238" formatCode="_(&quot;$&quot;* #,##0.0_);_(&quot;$&quot;* \(#,##0.0\)"/>
    <numFmt numFmtId="239" formatCode="_(&quot;$&quot;* #,##0.00_);_(&quot;$&quot;* \(#,##0.00\)"/>
    <numFmt numFmtId="240" formatCode="_(&quot;$&quot;* #,##0.000_);_(&quot;$&quot;* \(#,##0.000\)"/>
    <numFmt numFmtId="241" formatCode="#,##0.0_x_x"/>
  </numFmts>
  <fonts count="176">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0"/>
      <color rgb="FF3333FF"/>
      <name val="Times New Roman"/>
      <family val="1"/>
    </font>
    <font>
      <b/>
      <i/>
      <u/>
      <sz val="10"/>
      <color theme="1"/>
      <name val="Times New Roman"/>
      <family val="1"/>
    </font>
    <font>
      <sz val="10"/>
      <color rgb="FF0000FF"/>
      <name val="Times New Roman"/>
      <family val="1"/>
    </font>
    <font>
      <sz val="10"/>
      <color theme="1"/>
      <name val="Calibri"/>
      <family val="2"/>
      <scheme val="minor"/>
    </font>
    <font>
      <sz val="10"/>
      <color rgb="FFC00000"/>
      <name val="Times New Roman"/>
      <family val="1"/>
    </font>
    <font>
      <sz val="10"/>
      <color theme="4" tint="-0.249977111117893"/>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s>
  <borders count="62">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top style="medium">
        <color indexed="64"/>
      </top>
      <bottom/>
      <diagonal/>
    </border>
    <border>
      <left/>
      <right/>
      <top/>
      <bottom style="thin">
        <color indexed="8"/>
      </bottom>
      <diagonal/>
    </border>
    <border>
      <left/>
      <right/>
      <top style="thin">
        <color indexed="8"/>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173" fontId="9" fillId="0" borderId="0">
      <alignment horizontal="left" wrapText="1"/>
    </xf>
    <xf numFmtId="173"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5"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32" fillId="0" borderId="0"/>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32"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9" fillId="0" borderId="0"/>
    <xf numFmtId="0" fontId="9" fillId="0" borderId="0"/>
    <xf numFmtId="0" fontId="32" fillId="0" borderId="0"/>
    <xf numFmtId="0" fontId="32" fillId="0" borderId="0"/>
    <xf numFmtId="0" fontId="32"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0" fontId="32" fillId="0" borderId="0"/>
    <xf numFmtId="0" fontId="32" fillId="0" borderId="0"/>
    <xf numFmtId="0" fontId="32" fillId="0" borderId="0"/>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2" fillId="0" borderId="0"/>
    <xf numFmtId="0" fontId="32" fillId="0" borderId="0"/>
    <xf numFmtId="176" fontId="34" fillId="0" borderId="0">
      <alignment horizontal="left"/>
    </xf>
    <xf numFmtId="177" fontId="35" fillId="0" borderId="0">
      <alignment horizontal="left"/>
    </xf>
    <xf numFmtId="0" fontId="36" fillId="0" borderId="15"/>
    <xf numFmtId="0" fontId="37" fillId="0" borderId="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173" fontId="33" fillId="0" borderId="0">
      <alignment horizontal="left" wrapText="1"/>
    </xf>
    <xf numFmtId="0" fontId="38"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3" fontId="33"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34" borderId="0" applyNumberFormat="0" applyBorder="0" applyAlignment="0" applyProtection="0"/>
    <xf numFmtId="173" fontId="33" fillId="0" borderId="0">
      <alignment horizontal="left" wrapText="1"/>
    </xf>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173" fontId="33" fillId="0" borderId="0">
      <alignment horizontal="left" wrapText="1"/>
    </xf>
    <xf numFmtId="0" fontId="38"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3" fontId="33"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173" fontId="33" fillId="0" borderId="0">
      <alignment horizontal="left" wrapText="1"/>
    </xf>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173" fontId="33" fillId="0" borderId="0">
      <alignment horizontal="left" wrapText="1"/>
    </xf>
    <xf numFmtId="0" fontId="38"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38" borderId="0" applyNumberFormat="0" applyBorder="0" applyAlignment="0" applyProtection="0"/>
    <xf numFmtId="173" fontId="33" fillId="0" borderId="0">
      <alignment horizontal="left" wrapText="1"/>
    </xf>
    <xf numFmtId="0" fontId="38"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3" fontId="33"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173" fontId="33" fillId="0" borderId="0">
      <alignment horizontal="left" wrapText="1"/>
    </xf>
    <xf numFmtId="0" fontId="3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173" fontId="33" fillId="0" borderId="0">
      <alignment horizontal="left" wrapText="1"/>
    </xf>
    <xf numFmtId="0" fontId="38"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1" borderId="0" applyNumberFormat="0" applyBorder="0" applyAlignment="0" applyProtection="0"/>
    <xf numFmtId="173" fontId="33" fillId="0" borderId="0">
      <alignment horizontal="left" wrapText="1"/>
    </xf>
    <xf numFmtId="0" fontId="38" fillId="41"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3" fontId="3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173" fontId="33" fillId="0" borderId="0">
      <alignment horizontal="left" wrapText="1"/>
    </xf>
    <xf numFmtId="0" fontId="38"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173" fontId="33" fillId="0" borderId="0">
      <alignment horizontal="left" wrapText="1"/>
    </xf>
    <xf numFmtId="0" fontId="38"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3" fontId="33"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43" borderId="0" applyNumberFormat="0" applyBorder="0" applyAlignment="0" applyProtection="0"/>
    <xf numFmtId="173" fontId="33" fillId="0" borderId="0">
      <alignment horizontal="left" wrapText="1"/>
    </xf>
    <xf numFmtId="0" fontId="38"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3" fontId="33"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3" fontId="3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173" fontId="33" fillId="0" borderId="0">
      <alignment horizontal="left" wrapText="1"/>
    </xf>
    <xf numFmtId="0" fontId="38"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5" borderId="0" applyNumberFormat="0" applyBorder="0" applyAlignment="0" applyProtection="0"/>
    <xf numFmtId="173" fontId="33" fillId="0" borderId="0">
      <alignment horizontal="left" wrapText="1"/>
    </xf>
    <xf numFmtId="0" fontId="38" fillId="4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0" fillId="13" borderId="0" applyNumberFormat="0" applyBorder="0" applyAlignment="0" applyProtection="0"/>
    <xf numFmtId="0" fontId="30" fillId="42" borderId="0" applyNumberFormat="0" applyBorder="0" applyAlignment="0" applyProtection="0"/>
    <xf numFmtId="173" fontId="33" fillId="0" borderId="0">
      <alignment horizontal="left" wrapText="1"/>
    </xf>
    <xf numFmtId="173" fontId="33" fillId="0" borderId="0">
      <alignment horizontal="left" wrapText="1"/>
    </xf>
    <xf numFmtId="0" fontId="3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0" fillId="17" borderId="0" applyNumberFormat="0" applyBorder="0" applyAlignment="0" applyProtection="0"/>
    <xf numFmtId="0" fontId="30" fillId="47" borderId="0" applyNumberFormat="0" applyBorder="0" applyAlignment="0" applyProtection="0"/>
    <xf numFmtId="173" fontId="33" fillId="0" borderId="0">
      <alignment horizontal="left" wrapText="1"/>
    </xf>
    <xf numFmtId="173" fontId="33" fillId="0" borderId="0">
      <alignment horizontal="left" wrapText="1"/>
    </xf>
    <xf numFmtId="0" fontId="3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0" fillId="21" borderId="0" applyNumberFormat="0" applyBorder="0" applyAlignment="0" applyProtection="0"/>
    <xf numFmtId="0" fontId="30" fillId="45" borderId="0" applyNumberFormat="0" applyBorder="0" applyAlignment="0" applyProtection="0"/>
    <xf numFmtId="173" fontId="33" fillId="0" borderId="0">
      <alignment horizontal="left" wrapText="1"/>
    </xf>
    <xf numFmtId="173" fontId="33" fillId="0" borderId="0">
      <alignment horizontal="left" wrapText="1"/>
    </xf>
    <xf numFmtId="0" fontId="3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173" fontId="33" fillId="0" borderId="0">
      <alignment horizontal="left" wrapText="1"/>
    </xf>
    <xf numFmtId="173" fontId="33" fillId="0" borderId="0">
      <alignment horizontal="left" wrapText="1"/>
    </xf>
    <xf numFmtId="0" fontId="39"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9" borderId="0" applyNumberFormat="0" applyBorder="0" applyAlignment="0" applyProtection="0"/>
    <xf numFmtId="0" fontId="30" fillId="42" borderId="0" applyNumberFormat="0" applyBorder="0" applyAlignment="0" applyProtection="0"/>
    <xf numFmtId="173" fontId="33" fillId="0" borderId="0">
      <alignment horizontal="left" wrapText="1"/>
    </xf>
    <xf numFmtId="173" fontId="33" fillId="0" borderId="0">
      <alignment horizontal="left" wrapText="1"/>
    </xf>
    <xf numFmtId="0" fontId="3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0" fillId="33" borderId="0" applyNumberFormat="0" applyBorder="0" applyAlignment="0" applyProtection="0"/>
    <xf numFmtId="0" fontId="30" fillId="37" borderId="0" applyNumberFormat="0" applyBorder="0" applyAlignment="0" applyProtection="0"/>
    <xf numFmtId="173" fontId="33" fillId="0" borderId="0">
      <alignment horizontal="left" wrapText="1"/>
    </xf>
    <xf numFmtId="173" fontId="33" fillId="0" borderId="0">
      <alignment horizontal="left" wrapText="1"/>
    </xf>
    <xf numFmtId="0" fontId="39"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0" fillId="10" borderId="0" applyNumberFormat="0" applyBorder="0" applyAlignment="0" applyProtection="0"/>
    <xf numFmtId="0" fontId="30" fillId="55" borderId="0" applyNumberFormat="0" applyBorder="0" applyAlignment="0" applyProtection="0"/>
    <xf numFmtId="173" fontId="33" fillId="0" borderId="0">
      <alignment horizontal="left" wrapText="1"/>
    </xf>
    <xf numFmtId="173" fontId="33" fillId="0" borderId="0">
      <alignment horizontal="left" wrapText="1"/>
    </xf>
    <xf numFmtId="0" fontId="30" fillId="10" borderId="0" applyNumberFormat="0" applyBorder="0" applyAlignment="0" applyProtection="0"/>
    <xf numFmtId="0" fontId="30" fillId="55" borderId="0" applyNumberFormat="0" applyBorder="0" applyAlignment="0" applyProtection="0"/>
    <xf numFmtId="173" fontId="33" fillId="0" borderId="0">
      <alignment horizontal="left" wrapText="1"/>
    </xf>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0" fillId="14" borderId="0" applyNumberFormat="0" applyBorder="0" applyAlignment="0" applyProtection="0"/>
    <xf numFmtId="0" fontId="30" fillId="47" borderId="0" applyNumberFormat="0" applyBorder="0" applyAlignment="0" applyProtection="0"/>
    <xf numFmtId="173" fontId="33" fillId="0" borderId="0">
      <alignment horizontal="left" wrapText="1"/>
    </xf>
    <xf numFmtId="173" fontId="33" fillId="0" borderId="0">
      <alignment horizontal="left" wrapText="1"/>
    </xf>
    <xf numFmtId="0" fontId="30" fillId="14" borderId="0" applyNumberFormat="0" applyBorder="0" applyAlignment="0" applyProtection="0"/>
    <xf numFmtId="0" fontId="30" fillId="47" borderId="0" applyNumberFormat="0" applyBorder="0" applyAlignment="0" applyProtection="0"/>
    <xf numFmtId="173" fontId="33" fillId="0" borderId="0">
      <alignment horizontal="left" wrapText="1"/>
    </xf>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0" fillId="18" borderId="0" applyNumberFormat="0" applyBorder="0" applyAlignment="0" applyProtection="0"/>
    <xf numFmtId="0" fontId="30" fillId="45" borderId="0" applyNumberFormat="0" applyBorder="0" applyAlignment="0" applyProtection="0"/>
    <xf numFmtId="173" fontId="33" fillId="0" borderId="0">
      <alignment horizontal="left" wrapText="1"/>
    </xf>
    <xf numFmtId="173" fontId="33" fillId="0" borderId="0">
      <alignment horizontal="left" wrapText="1"/>
    </xf>
    <xf numFmtId="0" fontId="30" fillId="18" borderId="0" applyNumberFormat="0" applyBorder="0" applyAlignment="0" applyProtection="0"/>
    <xf numFmtId="0" fontId="30" fillId="45" borderId="0" applyNumberFormat="0" applyBorder="0" applyAlignment="0" applyProtection="0"/>
    <xf numFmtId="173" fontId="33" fillId="0" borderId="0">
      <alignment horizontal="left" wrapText="1"/>
    </xf>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0" fillId="22" borderId="0" applyNumberFormat="0" applyBorder="0" applyAlignment="0" applyProtection="0"/>
    <xf numFmtId="0" fontId="30" fillId="64" borderId="0" applyNumberFormat="0" applyBorder="0" applyAlignment="0" applyProtection="0"/>
    <xf numFmtId="173" fontId="33" fillId="0" borderId="0">
      <alignment horizontal="left" wrapText="1"/>
    </xf>
    <xf numFmtId="173" fontId="33" fillId="0" borderId="0">
      <alignment horizontal="left" wrapText="1"/>
    </xf>
    <xf numFmtId="0" fontId="30" fillId="22" borderId="0" applyNumberFormat="0" applyBorder="0" applyAlignment="0" applyProtection="0"/>
    <xf numFmtId="0" fontId="30" fillId="64" borderId="0" applyNumberFormat="0" applyBorder="0" applyAlignment="0" applyProtection="0"/>
    <xf numFmtId="173"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173" fontId="33" fillId="0" borderId="0">
      <alignment horizontal="left" wrapText="1"/>
    </xf>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9" fillId="6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0" fillId="30" borderId="0" applyNumberFormat="0" applyBorder="0" applyAlignment="0" applyProtection="0"/>
    <xf numFmtId="0" fontId="30" fillId="59" borderId="0" applyNumberFormat="0" applyBorder="0" applyAlignment="0" applyProtection="0"/>
    <xf numFmtId="173" fontId="33" fillId="0" borderId="0">
      <alignment horizontal="left" wrapText="1"/>
    </xf>
    <xf numFmtId="173" fontId="33" fillId="0" borderId="0">
      <alignment horizontal="left" wrapText="1"/>
    </xf>
    <xf numFmtId="0" fontId="30" fillId="30" borderId="0" applyNumberFormat="0" applyBorder="0" applyAlignment="0" applyProtection="0"/>
    <xf numFmtId="0" fontId="30" fillId="59" borderId="0" applyNumberFormat="0" applyBorder="0" applyAlignment="0" applyProtection="0"/>
    <xf numFmtId="173" fontId="33" fillId="0" borderId="0">
      <alignment horizontal="left" wrapText="1"/>
    </xf>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0" fillId="4" borderId="0" applyNumberFormat="0" applyBorder="0" applyAlignment="0" applyProtection="0"/>
    <xf numFmtId="0" fontId="20" fillId="40" borderId="0" applyNumberFormat="0" applyBorder="0" applyAlignment="0" applyProtection="0"/>
    <xf numFmtId="173" fontId="33" fillId="0" borderId="0">
      <alignment horizontal="left" wrapText="1"/>
    </xf>
    <xf numFmtId="173" fontId="33" fillId="0" borderId="0">
      <alignment horizontal="left" wrapText="1"/>
    </xf>
    <xf numFmtId="0" fontId="4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35" fillId="0" borderId="0" applyFont="0" applyFill="0" applyBorder="0" applyAlignment="0" applyProtection="0">
      <alignment horizontal="right"/>
    </xf>
    <xf numFmtId="0" fontId="37" fillId="0" borderId="15"/>
    <xf numFmtId="178" fontId="41" fillId="0" borderId="0" applyFill="0" applyBorder="0" applyAlignment="0"/>
    <xf numFmtId="178" fontId="41" fillId="0" borderId="0" applyFill="0" applyBorder="0" applyAlignment="0"/>
    <xf numFmtId="173" fontId="33" fillId="0" borderId="0">
      <alignment horizontal="left" wrapText="1"/>
    </xf>
    <xf numFmtId="173" fontId="33" fillId="0" borderId="0">
      <alignment horizontal="left" wrapText="1"/>
    </xf>
    <xf numFmtId="178" fontId="41" fillId="0" borderId="0" applyFill="0" applyBorder="0" applyAlignment="0"/>
    <xf numFmtId="41" fontId="9" fillId="67" borderId="0"/>
    <xf numFmtId="0" fontId="42" fillId="68" borderId="16" applyNumberFormat="0" applyAlignment="0" applyProtection="0"/>
    <xf numFmtId="173" fontId="33" fillId="0" borderId="0">
      <alignment horizontal="left" wrapText="1"/>
    </xf>
    <xf numFmtId="0" fontId="42" fillId="68" borderId="16" applyNumberFormat="0" applyAlignment="0" applyProtection="0"/>
    <xf numFmtId="0" fontId="24" fillId="7" borderId="9" applyNumberFormat="0" applyAlignment="0" applyProtection="0"/>
    <xf numFmtId="0" fontId="43" fillId="69" borderId="9" applyNumberFormat="0" applyAlignment="0" applyProtection="0"/>
    <xf numFmtId="173" fontId="33" fillId="0" borderId="0">
      <alignment horizontal="left" wrapText="1"/>
    </xf>
    <xf numFmtId="173" fontId="33" fillId="0" borderId="0">
      <alignment horizontal="left" wrapText="1"/>
    </xf>
    <xf numFmtId="41" fontId="9" fillId="67" borderId="0"/>
    <xf numFmtId="173" fontId="33" fillId="0" borderId="0">
      <alignment horizontal="left" wrapText="1"/>
    </xf>
    <xf numFmtId="41" fontId="9" fillId="67" borderId="0"/>
    <xf numFmtId="0" fontId="24" fillId="7" borderId="9" applyNumberFormat="0" applyAlignment="0" applyProtection="0"/>
    <xf numFmtId="0" fontId="43" fillId="69" borderId="9" applyNumberFormat="0" applyAlignment="0" applyProtection="0"/>
    <xf numFmtId="173" fontId="33" fillId="0" borderId="0">
      <alignment horizontal="left" wrapText="1"/>
    </xf>
    <xf numFmtId="173" fontId="33" fillId="0" borderId="0">
      <alignment horizontal="left" wrapText="1"/>
    </xf>
    <xf numFmtId="41" fontId="9" fillId="67" borderId="0"/>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41" fontId="9" fillId="67" borderId="0"/>
    <xf numFmtId="41" fontId="9" fillId="67" borderId="0"/>
    <xf numFmtId="0" fontId="43" fillId="69" borderId="9" applyNumberFormat="0" applyAlignment="0" applyProtection="0"/>
    <xf numFmtId="0" fontId="24" fillId="7" borderId="9" applyNumberFormat="0" applyAlignment="0" applyProtection="0"/>
    <xf numFmtId="0" fontId="44" fillId="70" borderId="17" applyNumberFormat="0" applyAlignment="0" applyProtection="0"/>
    <xf numFmtId="0" fontId="44" fillId="70" borderId="17" applyNumberFormat="0" applyAlignment="0" applyProtection="0"/>
    <xf numFmtId="173" fontId="33" fillId="0" borderId="0">
      <alignment horizontal="left" wrapText="1"/>
    </xf>
    <xf numFmtId="0" fontId="44" fillId="70" borderId="17" applyNumberFormat="0" applyAlignment="0" applyProtection="0"/>
    <xf numFmtId="173" fontId="33" fillId="0" borderId="0">
      <alignment horizontal="left" wrapText="1"/>
    </xf>
    <xf numFmtId="0" fontId="26" fillId="8" borderId="12" applyNumberFormat="0" applyAlignment="0" applyProtection="0"/>
    <xf numFmtId="0" fontId="44" fillId="70" borderId="17" applyNumberFormat="0" applyAlignment="0" applyProtection="0"/>
    <xf numFmtId="41" fontId="9" fillId="71" borderId="0"/>
    <xf numFmtId="41" fontId="9" fillId="71" borderId="0"/>
    <xf numFmtId="173" fontId="33" fillId="0" borderId="0">
      <alignment horizontal="left" wrapText="1"/>
    </xf>
    <xf numFmtId="41" fontId="9" fillId="71" borderId="0"/>
    <xf numFmtId="41" fontId="9" fillId="71" borderId="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9" fontId="9" fillId="0" borderId="0" applyFont="0" applyFill="0" applyBorder="0" applyAlignment="0" applyProtection="0"/>
    <xf numFmtId="43" fontId="38" fillId="0" borderId="0" applyFont="0" applyFill="0" applyBorder="0" applyAlignment="0" applyProtection="0"/>
    <xf numFmtId="40" fontId="4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80" fontId="9"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1" fillId="0" borderId="0" applyFont="0" applyFill="0" applyBorder="0" applyAlignment="0" applyProtection="0"/>
    <xf numFmtId="43" fontId="38"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173" fontId="33" fillId="0" borderId="0">
      <alignment horizontal="left" wrapText="1"/>
    </xf>
    <xf numFmtId="43" fontId="38" fillId="0" borderId="0" applyFont="0" applyFill="0" applyBorder="0" applyAlignment="0" applyProtection="0"/>
    <xf numFmtId="173" fontId="33" fillId="0" borderId="0">
      <alignment horizontal="left" wrapText="1"/>
    </xf>
    <xf numFmtId="43" fontId="38" fillId="0" borderId="0" applyFont="0" applyFill="0" applyBorder="0" applyAlignment="0" applyProtection="0"/>
    <xf numFmtId="43" fontId="1"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3" fontId="48" fillId="0" borderId="0" applyFill="0" applyBorder="0" applyAlignment="0" applyProtection="0"/>
    <xf numFmtId="0" fontId="49" fillId="0" borderId="0"/>
    <xf numFmtId="0" fontId="49" fillId="0" borderId="0"/>
    <xf numFmtId="0" fontId="49" fillId="0" borderId="0"/>
    <xf numFmtId="0" fontId="50" fillId="0" borderId="0"/>
    <xf numFmtId="0" fontId="50" fillId="0" borderId="0"/>
    <xf numFmtId="0" fontId="51" fillId="0" borderId="0"/>
    <xf numFmtId="0" fontId="52" fillId="0" borderId="0"/>
    <xf numFmtId="0" fontId="52" fillId="0" borderId="0"/>
    <xf numFmtId="0" fontId="51" fillId="0" borderId="0"/>
    <xf numFmtId="0" fontId="52" fillId="0" borderId="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73" fontId="33" fillId="0" borderId="0">
      <alignment horizontal="left" wrapText="1"/>
    </xf>
    <xf numFmtId="3" fontId="48" fillId="0" borderId="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81" fontId="55" fillId="0" borderId="0">
      <protection locked="0"/>
    </xf>
    <xf numFmtId="0" fontId="51" fillId="0" borderId="0"/>
    <xf numFmtId="0" fontId="52" fillId="0" borderId="0"/>
    <xf numFmtId="0" fontId="52" fillId="0" borderId="0"/>
    <xf numFmtId="0" fontId="51" fillId="0" borderId="0"/>
    <xf numFmtId="0" fontId="50" fillId="0" borderId="0"/>
    <xf numFmtId="0" fontId="52" fillId="0" borderId="0"/>
    <xf numFmtId="0" fontId="56" fillId="0" borderId="0" applyNumberFormat="0" applyAlignment="0">
      <alignment horizontal="left"/>
    </xf>
    <xf numFmtId="0" fontId="56" fillId="0" borderId="0" applyNumberFormat="0" applyAlignment="0">
      <alignment horizontal="left"/>
    </xf>
    <xf numFmtId="173" fontId="33" fillId="0" borderId="0">
      <alignment horizontal="left" wrapText="1"/>
    </xf>
    <xf numFmtId="173" fontId="33" fillId="0" borderId="0">
      <alignment horizontal="left" wrapText="1"/>
    </xf>
    <xf numFmtId="0" fontId="56" fillId="0" borderId="0" applyNumberFormat="0" applyAlignment="0">
      <alignment horizontal="left"/>
    </xf>
    <xf numFmtId="0" fontId="57" fillId="0" borderId="0" applyNumberFormat="0" applyAlignment="0"/>
    <xf numFmtId="0" fontId="57" fillId="0" borderId="0" applyNumberFormat="0" applyAlignment="0"/>
    <xf numFmtId="173" fontId="33" fillId="0" borderId="0">
      <alignment horizontal="left" wrapText="1"/>
    </xf>
    <xf numFmtId="173" fontId="33" fillId="0" borderId="0">
      <alignment horizontal="left" wrapText="1"/>
    </xf>
    <xf numFmtId="0" fontId="57" fillId="0" borderId="0" applyNumberFormat="0" applyAlignment="0"/>
    <xf numFmtId="0" fontId="49" fillId="0" borderId="0"/>
    <xf numFmtId="0" fontId="49" fillId="0" borderId="0"/>
    <xf numFmtId="0" fontId="51" fillId="0" borderId="0"/>
    <xf numFmtId="0" fontId="52" fillId="0" borderId="0"/>
    <xf numFmtId="0" fontId="52" fillId="0" borderId="0"/>
    <xf numFmtId="0" fontId="51" fillId="0" borderId="0"/>
    <xf numFmtId="0" fontId="50" fillId="0" borderId="0"/>
    <xf numFmtId="0" fontId="52" fillId="0" borderId="0"/>
    <xf numFmtId="0" fontId="49" fillId="0" borderId="0"/>
    <xf numFmtId="0" fontId="49" fillId="0" borderId="0"/>
    <xf numFmtId="0" fontId="51" fillId="0" borderId="0"/>
    <xf numFmtId="0" fontId="52" fillId="0" borderId="0"/>
    <xf numFmtId="0" fontId="52" fillId="0" borderId="0"/>
    <xf numFmtId="0" fontId="51" fillId="0" borderId="0"/>
    <xf numFmtId="0" fontId="52" fillId="0" borderId="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58" fillId="0" borderId="0" applyFont="0" applyFill="0" applyBorder="0" applyAlignment="0" applyProtection="0"/>
    <xf numFmtId="44" fontId="59" fillId="0" borderId="0" applyFont="0" applyFill="0" applyBorder="0" applyAlignment="0" applyProtection="0"/>
    <xf numFmtId="173" fontId="33" fillId="0" borderId="0">
      <alignment horizontal="left" wrapText="1"/>
    </xf>
    <xf numFmtId="173" fontId="33" fillId="0" borderId="0">
      <alignment horizontal="left" wrapText="1"/>
    </xf>
    <xf numFmtId="8" fontId="49"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46"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8" fontId="45"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7"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8"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73" fontId="33" fillId="0" borderId="0">
      <alignment horizontal="left" wrapText="1"/>
    </xf>
    <xf numFmtId="182" fontId="9" fillId="0" borderId="0" applyFont="0" applyFill="0" applyBorder="0" applyAlignment="0" applyProtection="0"/>
    <xf numFmtId="173" fontId="33" fillId="0" borderId="0">
      <alignment horizontal="left" wrapText="1"/>
    </xf>
    <xf numFmtId="182"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1" fillId="0" borderId="0" applyFont="0" applyFill="0" applyBorder="0" applyAlignment="0" applyProtection="0"/>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5" fontId="48" fillId="0" borderId="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33" fillId="0" borderId="0">
      <alignment horizontal="left" wrapText="1"/>
    </xf>
    <xf numFmtId="173" fontId="33" fillId="0" borderId="0">
      <alignment horizontal="left" wrapText="1"/>
    </xf>
    <xf numFmtId="183" fontId="9" fillId="0" borderId="0" applyFont="0" applyFill="0" applyBorder="0" applyAlignment="0" applyProtection="0"/>
    <xf numFmtId="184" fontId="60"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33" fillId="0" borderId="0">
      <alignment horizontal="left" wrapText="1"/>
    </xf>
    <xf numFmtId="5" fontId="48" fillId="0" borderId="0" applyFill="0" applyBorder="0" applyAlignment="0" applyProtection="0"/>
    <xf numFmtId="183" fontId="9" fillId="0" borderId="0" applyFont="0" applyFill="0" applyBorder="0" applyAlignment="0" applyProtection="0"/>
    <xf numFmtId="184" fontId="48" fillId="0" borderId="0" applyFont="0" applyFill="0" applyBorder="0" applyAlignment="0" applyProtection="0"/>
    <xf numFmtId="5" fontId="48" fillId="0" borderId="0" applyFill="0" applyBorder="0" applyAlignment="0" applyProtection="0"/>
    <xf numFmtId="183" fontId="9" fillId="0" borderId="0" applyFont="0" applyFill="0" applyBorder="0" applyAlignment="0" applyProtection="0"/>
    <xf numFmtId="185" fontId="48" fillId="0" borderId="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173" fontId="33" fillId="0" borderId="0">
      <alignment horizontal="left" wrapText="1"/>
    </xf>
    <xf numFmtId="185" fontId="48" fillId="0" borderId="0" applyFill="0" applyBorder="0" applyAlignment="0" applyProtection="0"/>
    <xf numFmtId="0" fontId="53" fillId="0" borderId="0" applyFont="0" applyFill="0" applyBorder="0" applyAlignment="0" applyProtection="0"/>
    <xf numFmtId="0" fontId="9" fillId="0" borderId="0" applyFont="0" applyFill="0" applyBorder="0" applyAlignment="0" applyProtection="0"/>
    <xf numFmtId="185" fontId="48" fillId="0" borderId="0" applyFill="0" applyBorder="0" applyAlignment="0" applyProtection="0"/>
    <xf numFmtId="0" fontId="60" fillId="0" borderId="0" applyFont="0" applyFill="0" applyBorder="0" applyAlignment="0" applyProtection="0"/>
    <xf numFmtId="0" fontId="37" fillId="0" borderId="0"/>
    <xf numFmtId="0" fontId="61" fillId="72" borderId="0" applyNumberFormat="0" applyBorder="0" applyAlignment="0" applyProtection="0"/>
    <xf numFmtId="0" fontId="61" fillId="72" borderId="0" applyNumberFormat="0" applyBorder="0" applyAlignment="0" applyProtection="0"/>
    <xf numFmtId="0" fontId="61" fillId="73" borderId="0" applyNumberFormat="0" applyBorder="0" applyAlignment="0" applyProtection="0"/>
    <xf numFmtId="0" fontId="61" fillId="73"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173" fontId="9" fillId="0" borderId="0"/>
    <xf numFmtId="173" fontId="9" fillId="0" borderId="0"/>
    <xf numFmtId="173" fontId="9" fillId="0" borderId="0"/>
    <xf numFmtId="173" fontId="33" fillId="0" borderId="0">
      <alignment horizontal="left" wrapText="1"/>
    </xf>
    <xf numFmtId="173" fontId="33" fillId="0" borderId="0">
      <alignment horizontal="left" wrapText="1"/>
    </xf>
    <xf numFmtId="173" fontId="9" fillId="0" borderId="0"/>
    <xf numFmtId="173" fontId="9" fillId="0" borderId="0"/>
    <xf numFmtId="173" fontId="33" fillId="0" borderId="0">
      <alignment horizontal="left" wrapText="1"/>
    </xf>
    <xf numFmtId="173" fontId="9" fillId="0" borderId="0"/>
    <xf numFmtId="173" fontId="33" fillId="0" borderId="0">
      <alignment horizontal="left" wrapText="1"/>
    </xf>
    <xf numFmtId="173" fontId="9" fillId="0" borderId="0"/>
    <xf numFmtId="173" fontId="33" fillId="0" borderId="0">
      <alignment horizontal="left" wrapText="1"/>
    </xf>
    <xf numFmtId="186" fontId="62" fillId="0" borderId="0"/>
    <xf numFmtId="173" fontId="33" fillId="0" borderId="0">
      <alignment horizontal="left" wrapText="1"/>
    </xf>
    <xf numFmtId="173" fontId="9" fillId="0" borderId="0"/>
    <xf numFmtId="173" fontId="33" fillId="0" borderId="0">
      <alignment horizontal="left" wrapText="1"/>
    </xf>
    <xf numFmtId="173" fontId="33" fillId="0" borderId="0">
      <alignment horizontal="left" wrapText="1"/>
    </xf>
    <xf numFmtId="173" fontId="9" fillId="0" borderId="0"/>
    <xf numFmtId="173" fontId="9" fillId="0" borderId="0"/>
    <xf numFmtId="173" fontId="9" fillId="0" borderId="0"/>
    <xf numFmtId="187" fontId="9" fillId="0" borderId="0" applyFont="0" applyFill="0" applyBorder="0" applyAlignment="0" applyProtection="0">
      <alignment horizontal="left" wrapText="1"/>
    </xf>
    <xf numFmtId="187" fontId="9" fillId="0" borderId="0" applyFont="0" applyFill="0" applyBorder="0" applyAlignment="0" applyProtection="0">
      <alignment horizontal="left" wrapText="1"/>
    </xf>
    <xf numFmtId="187" fontId="9" fillId="0" borderId="0" applyFont="0" applyFill="0" applyBorder="0" applyAlignment="0" applyProtection="0">
      <alignment horizontal="left" wrapText="1"/>
    </xf>
    <xf numFmtId="173" fontId="33" fillId="0" borderId="0">
      <alignment horizontal="left" wrapText="1"/>
    </xf>
    <xf numFmtId="173" fontId="33" fillId="0" borderId="0">
      <alignment horizontal="left" wrapText="1"/>
    </xf>
    <xf numFmtId="187" fontId="9" fillId="0" borderId="0" applyFont="0" applyFill="0" applyBorder="0" applyAlignment="0" applyProtection="0">
      <alignment horizontal="left" wrapText="1"/>
    </xf>
    <xf numFmtId="173" fontId="33" fillId="0" borderId="0">
      <alignment horizontal="left" wrapText="1"/>
    </xf>
    <xf numFmtId="173" fontId="33" fillId="0" borderId="0">
      <alignment horizontal="left" wrapText="1"/>
    </xf>
    <xf numFmtId="187" fontId="9" fillId="0" borderId="0" applyFont="0" applyFill="0" applyBorder="0" applyAlignment="0" applyProtection="0">
      <alignment horizontal="left" wrapText="1"/>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3" fontId="33" fillId="0" borderId="0">
      <alignment horizontal="left" wrapText="1"/>
    </xf>
    <xf numFmtId="0" fontId="28" fillId="0" borderId="0" applyNumberFormat="0" applyFill="0" applyBorder="0" applyAlignment="0" applyProtection="0"/>
    <xf numFmtId="0" fontId="63" fillId="0" borderId="0" applyNumberFormat="0" applyFill="0" applyBorder="0" applyAlignment="0" applyProtection="0"/>
    <xf numFmtId="2" fontId="48" fillId="0" borderId="0" applyFill="0" applyBorder="0" applyAlignment="0" applyProtection="0"/>
    <xf numFmtId="2" fontId="53"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2" fontId="48" fillId="0" borderId="0" applyFont="0" applyFill="0" applyBorder="0" applyAlignment="0" applyProtection="0"/>
    <xf numFmtId="2" fontId="48" fillId="0" borderId="0" applyFont="0" applyFill="0" applyBorder="0" applyAlignment="0" applyProtection="0"/>
    <xf numFmtId="2" fontId="48" fillId="0" borderId="0" applyFill="0" applyBorder="0" applyAlignment="0" applyProtection="0"/>
    <xf numFmtId="2" fontId="53" fillId="0" borderId="0" applyFont="0" applyFill="0" applyBorder="0" applyAlignment="0" applyProtection="0"/>
    <xf numFmtId="0" fontId="49" fillId="0" borderId="0"/>
    <xf numFmtId="0" fontId="49" fillId="0" borderId="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19" fillId="3" borderId="0" applyNumberFormat="0" applyBorder="0" applyAlignment="0" applyProtection="0"/>
    <xf numFmtId="0" fontId="19" fillId="42" borderId="0" applyNumberFormat="0" applyBorder="0" applyAlignment="0" applyProtection="0"/>
    <xf numFmtId="173" fontId="33" fillId="0" borderId="0">
      <alignment horizontal="left" wrapText="1"/>
    </xf>
    <xf numFmtId="173" fontId="33" fillId="0" borderId="0">
      <alignment horizontal="left" wrapText="1"/>
    </xf>
    <xf numFmtId="0" fontId="64"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173" fontId="33" fillId="0" borderId="0">
      <alignment horizontal="left" wrapText="1"/>
    </xf>
    <xf numFmtId="38" fontId="65" fillId="71" borderId="0" applyNumberFormat="0" applyBorder="0" applyAlignment="0" applyProtection="0"/>
    <xf numFmtId="0"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0" fontId="66" fillId="0" borderId="15"/>
    <xf numFmtId="188" fontId="67" fillId="0" borderId="0" applyNumberFormat="0" applyFill="0" applyBorder="0" applyProtection="0">
      <alignment horizontal="right"/>
    </xf>
    <xf numFmtId="0" fontId="68" fillId="0" borderId="18" applyNumberFormat="0" applyAlignment="0" applyProtection="0">
      <alignment horizontal="left"/>
    </xf>
    <xf numFmtId="0" fontId="68" fillId="0" borderId="18" applyNumberFormat="0" applyAlignment="0" applyProtection="0">
      <alignment horizontal="left"/>
    </xf>
    <xf numFmtId="173" fontId="33" fillId="0" borderId="0">
      <alignment horizontal="left" wrapText="1"/>
    </xf>
    <xf numFmtId="173" fontId="33" fillId="0" borderId="0">
      <alignment horizontal="left" wrapText="1"/>
    </xf>
    <xf numFmtId="0" fontId="68" fillId="0" borderId="18" applyNumberFormat="0" applyAlignment="0" applyProtection="0">
      <alignment horizontal="left"/>
    </xf>
    <xf numFmtId="173" fontId="33" fillId="0" borderId="0">
      <alignment horizontal="left" wrapText="1"/>
    </xf>
    <xf numFmtId="0" fontId="68" fillId="0" borderId="19">
      <alignment horizontal="left"/>
    </xf>
    <xf numFmtId="0" fontId="68" fillId="0" borderId="19">
      <alignment horizontal="left"/>
    </xf>
    <xf numFmtId="173" fontId="33" fillId="0" borderId="0">
      <alignment horizontal="left" wrapText="1"/>
    </xf>
    <xf numFmtId="173" fontId="33" fillId="0" borderId="0">
      <alignment horizontal="left" wrapText="1"/>
    </xf>
    <xf numFmtId="173" fontId="33" fillId="0" borderId="0">
      <alignment horizontal="left" wrapText="1"/>
    </xf>
    <xf numFmtId="0" fontId="68" fillId="0" borderId="19">
      <alignment horizontal="left"/>
    </xf>
    <xf numFmtId="0" fontId="68" fillId="0" borderId="19">
      <alignment horizontal="left"/>
    </xf>
    <xf numFmtId="173" fontId="33" fillId="0" borderId="0">
      <alignment horizontal="left" wrapText="1"/>
    </xf>
    <xf numFmtId="14" fontId="14" fillId="75" borderId="20">
      <alignment horizontal="center" vertical="center" wrapText="1"/>
    </xf>
    <xf numFmtId="0" fontId="53" fillId="0" borderId="0" applyNumberFormat="0" applyFill="0" applyBorder="0" applyAlignment="0" applyProtection="0"/>
    <xf numFmtId="0" fontId="69" fillId="0" borderId="21" applyNumberFormat="0" applyFill="0" applyAlignment="0" applyProtection="0"/>
    <xf numFmtId="0" fontId="69" fillId="0" borderId="21" applyNumberFormat="0" applyFill="0" applyAlignment="0" applyProtection="0"/>
    <xf numFmtId="0" fontId="16" fillId="0" borderId="6" applyNumberFormat="0" applyFill="0" applyAlignment="0" applyProtection="0"/>
    <xf numFmtId="0" fontId="70" fillId="0" borderId="22" applyNumberFormat="0" applyFill="0" applyAlignment="0" applyProtection="0"/>
    <xf numFmtId="173" fontId="33" fillId="0" borderId="0">
      <alignment horizontal="left" wrapText="1"/>
    </xf>
    <xf numFmtId="173" fontId="33" fillId="0" borderId="0">
      <alignment horizontal="left" wrapText="1"/>
    </xf>
    <xf numFmtId="0" fontId="70" fillId="0" borderId="22" applyNumberFormat="0" applyFill="0" applyAlignment="0" applyProtection="0"/>
    <xf numFmtId="0" fontId="16" fillId="0" borderId="6" applyNumberFormat="0" applyFill="0" applyAlignment="0" applyProtection="0"/>
    <xf numFmtId="0" fontId="70" fillId="0" borderId="22" applyNumberFormat="0" applyFill="0" applyAlignment="0" applyProtection="0"/>
    <xf numFmtId="173" fontId="33" fillId="0" borderId="0">
      <alignment horizontal="left" wrapText="1"/>
    </xf>
    <xf numFmtId="173" fontId="33" fillId="0" borderId="0">
      <alignment horizontal="left" wrapText="1"/>
    </xf>
    <xf numFmtId="0" fontId="71" fillId="0" borderId="0" applyNumberFormat="0" applyFill="0" applyBorder="0" applyAlignment="0" applyProtection="0"/>
    <xf numFmtId="173" fontId="33" fillId="0" borderId="0">
      <alignment horizontal="left" wrapText="1"/>
    </xf>
    <xf numFmtId="0" fontId="70" fillId="0" borderId="22" applyNumberFormat="0" applyFill="0" applyAlignment="0" applyProtection="0"/>
    <xf numFmtId="0" fontId="71" fillId="0" borderId="0" applyNumberFormat="0" applyFill="0" applyBorder="0" applyAlignment="0" applyProtection="0"/>
    <xf numFmtId="0" fontId="70" fillId="0" borderId="22" applyNumberFormat="0" applyFill="0" applyAlignment="0" applyProtection="0"/>
    <xf numFmtId="0" fontId="16" fillId="0" borderId="6" applyNumberFormat="0" applyFill="0" applyAlignment="0" applyProtection="0"/>
    <xf numFmtId="0" fontId="53" fillId="0" borderId="0" applyNumberFormat="0" applyFill="0" applyBorder="0" applyAlignment="0" applyProtection="0"/>
    <xf numFmtId="0" fontId="72" fillId="0" borderId="23" applyNumberFormat="0" applyFill="0" applyAlignment="0" applyProtection="0"/>
    <xf numFmtId="0" fontId="72" fillId="0" borderId="23" applyNumberFormat="0" applyFill="0" applyAlignment="0" applyProtection="0"/>
    <xf numFmtId="0" fontId="17" fillId="0" borderId="7" applyNumberFormat="0" applyFill="0" applyAlignment="0" applyProtection="0"/>
    <xf numFmtId="0" fontId="73" fillId="0" borderId="24" applyNumberFormat="0" applyFill="0" applyAlignment="0" applyProtection="0"/>
    <xf numFmtId="173" fontId="33" fillId="0" borderId="0">
      <alignment horizontal="left" wrapText="1"/>
    </xf>
    <xf numFmtId="173" fontId="33" fillId="0" borderId="0">
      <alignment horizontal="left" wrapText="1"/>
    </xf>
    <xf numFmtId="0" fontId="73" fillId="0" borderId="24" applyNumberFormat="0" applyFill="0" applyAlignment="0" applyProtection="0"/>
    <xf numFmtId="0" fontId="17" fillId="0" borderId="7" applyNumberFormat="0" applyFill="0" applyAlignment="0" applyProtection="0"/>
    <xf numFmtId="0" fontId="73" fillId="0" borderId="24" applyNumberFormat="0" applyFill="0" applyAlignment="0" applyProtection="0"/>
    <xf numFmtId="173" fontId="33" fillId="0" borderId="0">
      <alignment horizontal="left" wrapText="1"/>
    </xf>
    <xf numFmtId="173" fontId="33" fillId="0" borderId="0">
      <alignment horizontal="left" wrapText="1"/>
    </xf>
    <xf numFmtId="0" fontId="65" fillId="0" borderId="0" applyNumberFormat="0" applyFill="0" applyBorder="0" applyAlignment="0" applyProtection="0"/>
    <xf numFmtId="173" fontId="33" fillId="0" borderId="0">
      <alignment horizontal="left" wrapText="1"/>
    </xf>
    <xf numFmtId="0" fontId="73" fillId="0" borderId="24" applyNumberFormat="0" applyFill="0" applyAlignment="0" applyProtection="0"/>
    <xf numFmtId="0" fontId="65" fillId="0" borderId="0" applyNumberFormat="0" applyFill="0" applyBorder="0" applyAlignment="0" applyProtection="0"/>
    <xf numFmtId="0" fontId="73" fillId="0" borderId="24" applyNumberFormat="0" applyFill="0" applyAlignment="0" applyProtection="0"/>
    <xf numFmtId="0" fontId="17" fillId="0" borderId="7"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18" fillId="0" borderId="8" applyNumberFormat="0" applyFill="0" applyAlignment="0" applyProtection="0"/>
    <xf numFmtId="0" fontId="75" fillId="0" borderId="26" applyNumberFormat="0" applyFill="0" applyAlignment="0" applyProtection="0"/>
    <xf numFmtId="173" fontId="33" fillId="0" borderId="0">
      <alignment horizontal="left" wrapText="1"/>
    </xf>
    <xf numFmtId="173" fontId="33" fillId="0" borderId="0">
      <alignment horizontal="left" wrapText="1"/>
    </xf>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173" fontId="33" fillId="0" borderId="0">
      <alignment horizontal="left" wrapText="1"/>
    </xf>
    <xf numFmtId="173" fontId="33" fillId="0" borderId="0">
      <alignment horizontal="left" wrapText="1"/>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38" fontId="76" fillId="0" borderId="0"/>
    <xf numFmtId="38" fontId="76" fillId="0" borderId="0"/>
    <xf numFmtId="38" fontId="76" fillId="0" borderId="0"/>
    <xf numFmtId="38" fontId="76" fillId="0" borderId="0"/>
    <xf numFmtId="173" fontId="33" fillId="0" borderId="0">
      <alignment horizontal="left" wrapText="1"/>
    </xf>
    <xf numFmtId="0" fontId="76" fillId="0" borderId="0"/>
    <xf numFmtId="0" fontId="76" fillId="0" borderId="0"/>
    <xf numFmtId="0" fontId="76" fillId="0" borderId="0"/>
    <xf numFmtId="38" fontId="76" fillId="0" borderId="0"/>
    <xf numFmtId="38" fontId="76" fillId="0" borderId="0"/>
    <xf numFmtId="38" fontId="76" fillId="0" borderId="0"/>
    <xf numFmtId="40" fontId="76" fillId="0" borderId="0"/>
    <xf numFmtId="40" fontId="76" fillId="0" borderId="0"/>
    <xf numFmtId="40" fontId="76" fillId="0" borderId="0"/>
    <xf numFmtId="40" fontId="76" fillId="0" borderId="0"/>
    <xf numFmtId="173" fontId="33" fillId="0" borderId="0">
      <alignment horizontal="left" wrapText="1"/>
    </xf>
    <xf numFmtId="0" fontId="76" fillId="0" borderId="0"/>
    <xf numFmtId="0" fontId="76" fillId="0" borderId="0"/>
    <xf numFmtId="0" fontId="76" fillId="0" borderId="0"/>
    <xf numFmtId="40" fontId="76" fillId="0" borderId="0"/>
    <xf numFmtId="40" fontId="76" fillId="0" borderId="0"/>
    <xf numFmtId="40" fontId="76" fillId="0" borderId="0"/>
    <xf numFmtId="0" fontId="77" fillId="0" borderId="0" applyNumberFormat="0" applyFill="0" applyBorder="0" applyAlignment="0" applyProtection="0">
      <alignment vertical="top"/>
      <protection locked="0"/>
    </xf>
    <xf numFmtId="173" fontId="33" fillId="0" borderId="0">
      <alignment horizontal="left" wrapText="1"/>
    </xf>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73" fontId="33" fillId="0" borderId="0">
      <alignment horizontal="left" wrapText="1"/>
    </xf>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173" fontId="33" fillId="0" borderId="0">
      <alignment horizontal="left" wrapText="1"/>
    </xf>
    <xf numFmtId="0" fontId="78" fillId="41" borderId="16" applyNumberFormat="0" applyAlignment="0" applyProtection="0"/>
    <xf numFmtId="0" fontId="78" fillId="41" borderId="16" applyNumberFormat="0" applyAlignment="0" applyProtection="0"/>
    <xf numFmtId="0" fontId="22" fillId="6" borderId="9" applyNumberFormat="0" applyAlignment="0" applyProtection="0"/>
    <xf numFmtId="0" fontId="22" fillId="44" borderId="9" applyNumberFormat="0" applyAlignment="0" applyProtection="0"/>
    <xf numFmtId="0" fontId="78" fillId="41" borderId="16" applyNumberFormat="0" applyAlignment="0" applyProtection="0"/>
    <xf numFmtId="173" fontId="33" fillId="0" borderId="0">
      <alignment horizontal="left" wrapText="1"/>
    </xf>
    <xf numFmtId="0" fontId="78" fillId="41" borderId="16" applyNumberFormat="0" applyAlignment="0" applyProtection="0"/>
    <xf numFmtId="0" fontId="22" fillId="6" borderId="9" applyNumberFormat="0" applyAlignment="0" applyProtection="0"/>
    <xf numFmtId="0" fontId="22" fillId="44" borderId="9"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41" fontId="79" fillId="76" borderId="28">
      <alignment horizontal="left"/>
      <protection locked="0"/>
    </xf>
    <xf numFmtId="173" fontId="33" fillId="0" borderId="0">
      <alignment horizontal="left" wrapText="1"/>
    </xf>
    <xf numFmtId="41" fontId="79" fillId="76" borderId="28">
      <alignment horizontal="left"/>
      <protection locked="0"/>
    </xf>
    <xf numFmtId="10" fontId="79" fillId="76" borderId="28">
      <alignment horizontal="right"/>
      <protection locked="0"/>
    </xf>
    <xf numFmtId="173" fontId="33" fillId="0" borderId="0">
      <alignment horizontal="left" wrapText="1"/>
    </xf>
    <xf numFmtId="10" fontId="79" fillId="76" borderId="28">
      <alignment horizontal="right"/>
      <protection locked="0"/>
    </xf>
    <xf numFmtId="173" fontId="33" fillId="0" borderId="0">
      <alignment horizontal="left" wrapText="1"/>
    </xf>
    <xf numFmtId="41" fontId="79" fillId="76" borderId="28">
      <alignment horizontal="left"/>
      <protection locked="0"/>
    </xf>
    <xf numFmtId="0" fontId="66" fillId="0" borderId="29"/>
    <xf numFmtId="0" fontId="65" fillId="71" borderId="0"/>
    <xf numFmtId="0" fontId="65" fillId="71" borderId="0"/>
    <xf numFmtId="0" fontId="65" fillId="71" borderId="0"/>
    <xf numFmtId="0" fontId="65" fillId="71" borderId="0"/>
    <xf numFmtId="173" fontId="33" fillId="0" borderId="0">
      <alignment horizontal="left" wrapText="1"/>
    </xf>
    <xf numFmtId="3" fontId="80" fillId="0" borderId="0" applyFill="0" applyBorder="0" applyAlignment="0" applyProtection="0"/>
    <xf numFmtId="173" fontId="33" fillId="0" borderId="0">
      <alignment horizontal="left" wrapText="1"/>
    </xf>
    <xf numFmtId="173" fontId="33" fillId="0" borderId="0">
      <alignment horizontal="left" wrapText="1"/>
    </xf>
    <xf numFmtId="3" fontId="80" fillId="0" borderId="0" applyFill="0" applyBorder="0" applyAlignment="0" applyProtection="0"/>
    <xf numFmtId="3" fontId="80" fillId="0" borderId="0" applyFill="0" applyBorder="0" applyAlignment="0" applyProtection="0"/>
    <xf numFmtId="0" fontId="81" fillId="0" borderId="30" applyNumberFormat="0" applyFill="0" applyAlignment="0" applyProtection="0"/>
    <xf numFmtId="0" fontId="81" fillId="0" borderId="30" applyNumberFormat="0" applyFill="0" applyAlignment="0" applyProtection="0"/>
    <xf numFmtId="0" fontId="81" fillId="0" borderId="30" applyNumberFormat="0" applyFill="0" applyAlignment="0" applyProtection="0"/>
    <xf numFmtId="0" fontId="81" fillId="0" borderId="30" applyNumberFormat="0" applyFill="0" applyAlignment="0" applyProtection="0"/>
    <xf numFmtId="0" fontId="25" fillId="0" borderId="11" applyNumberFormat="0" applyFill="0" applyAlignment="0" applyProtection="0"/>
    <xf numFmtId="0" fontId="82" fillId="0" borderId="31" applyNumberFormat="0" applyFill="0" applyAlignment="0" applyProtection="0"/>
    <xf numFmtId="173" fontId="33" fillId="0" borderId="0">
      <alignment horizontal="left" wrapText="1"/>
    </xf>
    <xf numFmtId="173" fontId="33" fillId="0" borderId="0">
      <alignment horizontal="left" wrapText="1"/>
    </xf>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189" fontId="9" fillId="0" borderId="0" applyFont="0" applyFill="0" applyBorder="0" applyAlignment="0" applyProtection="0"/>
    <xf numFmtId="0" fontId="9" fillId="0" borderId="0" applyFont="0" applyFill="0" applyBorder="0" applyAlignment="0" applyProtection="0"/>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173" fontId="33" fillId="0" borderId="0">
      <alignment horizontal="left" wrapText="1"/>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173" fontId="33" fillId="0" borderId="0">
      <alignment horizontal="left" wrapText="1"/>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0" fontId="9" fillId="0" borderId="0" applyFont="0" applyFill="0" applyBorder="0" applyAlignment="0" applyProtection="0"/>
    <xf numFmtId="0" fontId="9" fillId="0" borderId="0" applyFont="0" applyFill="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21" fillId="5" borderId="0" applyNumberFormat="0" applyBorder="0" applyAlignment="0" applyProtection="0"/>
    <xf numFmtId="0" fontId="84" fillId="5" borderId="0" applyNumberFormat="0" applyBorder="0" applyAlignment="0" applyProtection="0"/>
    <xf numFmtId="173" fontId="33" fillId="0" borderId="0">
      <alignment horizontal="left" wrapText="1"/>
    </xf>
    <xf numFmtId="173" fontId="33" fillId="0" borderId="0">
      <alignment horizontal="left" wrapText="1"/>
    </xf>
    <xf numFmtId="0" fontId="85" fillId="4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37" fontId="86" fillId="0" borderId="0"/>
    <xf numFmtId="37" fontId="86" fillId="0" borderId="0"/>
    <xf numFmtId="173" fontId="33" fillId="0" borderId="0">
      <alignment horizontal="left" wrapText="1"/>
    </xf>
    <xf numFmtId="173" fontId="33" fillId="0" borderId="0">
      <alignment horizontal="left" wrapText="1"/>
    </xf>
    <xf numFmtId="37" fontId="86" fillId="0" borderId="0"/>
    <xf numFmtId="190" fontId="87" fillId="0" borderId="0"/>
    <xf numFmtId="191" fontId="9" fillId="0" borderId="0"/>
    <xf numFmtId="191" fontId="9" fillId="0" borderId="0"/>
    <xf numFmtId="173" fontId="33" fillId="0" borderId="0">
      <alignment horizontal="left" wrapText="1"/>
    </xf>
    <xf numFmtId="191" fontId="9" fillId="0" borderId="0"/>
    <xf numFmtId="191" fontId="9" fillId="0" borderId="0"/>
    <xf numFmtId="191" fontId="9" fillId="0" borderId="0"/>
    <xf numFmtId="191" fontId="9" fillId="0" borderId="0"/>
    <xf numFmtId="173" fontId="33" fillId="0" borderId="0">
      <alignment horizontal="left" wrapText="1"/>
    </xf>
    <xf numFmtId="191" fontId="9" fillId="0" borderId="0"/>
    <xf numFmtId="191" fontId="9" fillId="0" borderId="0"/>
    <xf numFmtId="191" fontId="9" fillId="0" borderId="0"/>
    <xf numFmtId="191" fontId="9" fillId="0" borderId="0"/>
    <xf numFmtId="173" fontId="33" fillId="0" borderId="0">
      <alignment horizontal="left" wrapText="1"/>
    </xf>
    <xf numFmtId="191" fontId="9" fillId="0" borderId="0"/>
    <xf numFmtId="191" fontId="9" fillId="0" borderId="0"/>
    <xf numFmtId="192" fontId="33" fillId="0" borderId="0"/>
    <xf numFmtId="192" fontId="33" fillId="0" borderId="0"/>
    <xf numFmtId="190" fontId="87" fillId="0" borderId="0"/>
    <xf numFmtId="0" fontId="9" fillId="0" borderId="0"/>
    <xf numFmtId="190" fontId="87" fillId="0" borderId="0"/>
    <xf numFmtId="193" fontId="9" fillId="0" borderId="0"/>
    <xf numFmtId="173" fontId="33" fillId="0" borderId="0">
      <alignment horizontal="left" wrapText="1"/>
    </xf>
    <xf numFmtId="173" fontId="33" fillId="0" borderId="0">
      <alignment horizontal="left" wrapText="1"/>
    </xf>
    <xf numFmtId="173" fontId="33" fillId="0" borderId="0">
      <alignment horizontal="left" wrapText="1"/>
    </xf>
    <xf numFmtId="192" fontId="33" fillId="0" borderId="0"/>
    <xf numFmtId="194" fontId="9" fillId="0" borderId="0"/>
    <xf numFmtId="195" fontId="47" fillId="0" borderId="0"/>
    <xf numFmtId="174" fontId="9" fillId="0" borderId="0">
      <alignment horizontal="left" wrapText="1"/>
    </xf>
    <xf numFmtId="174" fontId="9" fillId="0" borderId="0">
      <alignment horizontal="left" wrapText="1"/>
    </xf>
    <xf numFmtId="0" fontId="1" fillId="0" borderId="0"/>
    <xf numFmtId="0" fontId="9" fillId="0" borderId="0"/>
    <xf numFmtId="0" fontId="9" fillId="0" borderId="0"/>
    <xf numFmtId="173" fontId="33" fillId="0" borderId="0">
      <alignment horizontal="left" wrapText="1"/>
    </xf>
    <xf numFmtId="0" fontId="9" fillId="0" borderId="0"/>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9" fillId="0" borderId="0" applyFill="0" applyBorder="0" applyAlignment="0" applyProtection="0"/>
    <xf numFmtId="0" fontId="1" fillId="0" borderId="0"/>
    <xf numFmtId="0" fontId="9" fillId="0" borderId="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173" fontId="33" fillId="0" borderId="0">
      <alignment horizontal="left" wrapText="1"/>
    </xf>
    <xf numFmtId="173" fontId="33" fillId="0" borderId="0">
      <alignment horizontal="left" wrapText="1"/>
    </xf>
    <xf numFmtId="0" fontId="1" fillId="0" borderId="0"/>
    <xf numFmtId="0" fontId="1" fillId="0" borderId="0"/>
    <xf numFmtId="0" fontId="9" fillId="0" borderId="0"/>
    <xf numFmtId="0" fontId="1" fillId="0" borderId="0"/>
    <xf numFmtId="0" fontId="1" fillId="0" borderId="0"/>
    <xf numFmtId="173" fontId="9" fillId="0" borderId="0">
      <alignment horizontal="left" wrapText="1"/>
    </xf>
    <xf numFmtId="0" fontId="1" fillId="0" borderId="0"/>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0" fontId="9" fillId="0" borderId="0"/>
    <xf numFmtId="191" fontId="33" fillId="0" borderId="0">
      <alignment horizontal="left" wrapText="1"/>
    </xf>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19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9" fillId="0" borderId="0"/>
    <xf numFmtId="0" fontId="1" fillId="0" borderId="0"/>
    <xf numFmtId="19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191" fontId="33" fillId="0" borderId="0">
      <alignment horizontal="left" wrapText="1"/>
    </xf>
    <xf numFmtId="0" fontId="9" fillId="0" borderId="0"/>
    <xf numFmtId="173" fontId="33" fillId="0" borderId="0">
      <alignment horizontal="left" wrapText="1"/>
    </xf>
    <xf numFmtId="0" fontId="9" fillId="0" borderId="0"/>
    <xf numFmtId="191" fontId="33" fillId="0" borderId="0">
      <alignment horizontal="left" wrapText="1"/>
    </xf>
    <xf numFmtId="173" fontId="9" fillId="0" borderId="0">
      <alignment horizontal="left" wrapText="1"/>
    </xf>
    <xf numFmtId="191"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91" fontId="33" fillId="0" borderId="0">
      <alignment horizontal="left" wrapText="1"/>
    </xf>
    <xf numFmtId="191" fontId="33" fillId="0" borderId="0">
      <alignment horizontal="left" wrapText="1"/>
    </xf>
    <xf numFmtId="191" fontId="33" fillId="0" borderId="0">
      <alignment horizontal="left" wrapText="1"/>
    </xf>
    <xf numFmtId="173" fontId="9" fillId="0" borderId="0">
      <alignment horizontal="left" wrapText="1"/>
    </xf>
    <xf numFmtId="173" fontId="33" fillId="0" borderId="0">
      <alignment horizontal="left" wrapText="1"/>
    </xf>
    <xf numFmtId="191" fontId="33" fillId="0" borderId="0">
      <alignment horizontal="left" wrapText="1"/>
    </xf>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88"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9" fillId="0" borderId="0"/>
    <xf numFmtId="0" fontId="38" fillId="0" borderId="0"/>
    <xf numFmtId="0" fontId="38" fillId="0" borderId="0"/>
    <xf numFmtId="0" fontId="38" fillId="0" borderId="0"/>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46" fillId="0" borderId="0"/>
    <xf numFmtId="173" fontId="33" fillId="0" borderId="0">
      <alignment horizontal="left" wrapText="1"/>
    </xf>
    <xf numFmtId="0" fontId="38" fillId="0" borderId="0"/>
    <xf numFmtId="0" fontId="38" fillId="0" borderId="0"/>
    <xf numFmtId="0" fontId="46" fillId="0" borderId="0"/>
    <xf numFmtId="0" fontId="38" fillId="0" borderId="0"/>
    <xf numFmtId="0" fontId="38" fillId="0" borderId="0"/>
    <xf numFmtId="0" fontId="46" fillId="0" borderId="0"/>
    <xf numFmtId="0" fontId="38"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196" fontId="9" fillId="0" borderId="0">
      <alignment horizontal="left" wrapText="1"/>
    </xf>
    <xf numFmtId="196" fontId="9" fillId="0" borderId="0">
      <alignment horizontal="left" wrapText="1"/>
    </xf>
    <xf numFmtId="173" fontId="33" fillId="0" borderId="0">
      <alignment horizontal="left" wrapText="1"/>
    </xf>
    <xf numFmtId="196"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96" fontId="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7"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0" fontId="33" fillId="0" borderId="0"/>
    <xf numFmtId="198" fontId="33" fillId="0" borderId="0">
      <alignment horizontal="left" wrapText="1"/>
    </xf>
    <xf numFmtId="0" fontId="9" fillId="0" borderId="0"/>
    <xf numFmtId="0" fontId="9" fillId="0" borderId="0"/>
    <xf numFmtId="173" fontId="33" fillId="0" borderId="0">
      <alignment horizontal="left" wrapText="1"/>
    </xf>
    <xf numFmtId="175"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173" fontId="33" fillId="0" borderId="0">
      <alignment horizontal="left" wrapText="1"/>
    </xf>
    <xf numFmtId="0" fontId="9" fillId="0" borderId="0"/>
    <xf numFmtId="173" fontId="33" fillId="0" borderId="0">
      <alignment horizontal="left" wrapText="1"/>
    </xf>
    <xf numFmtId="199" fontId="9" fillId="0" borderId="0">
      <alignment horizontal="left" wrapText="1"/>
    </xf>
    <xf numFmtId="0" fontId="1" fillId="0" borderId="0"/>
    <xf numFmtId="0" fontId="1" fillId="0" borderId="0"/>
    <xf numFmtId="0" fontId="1" fillId="0" borderId="0"/>
    <xf numFmtId="0" fontId="9" fillId="0" borderId="0"/>
    <xf numFmtId="167" fontId="9" fillId="0" borderId="0">
      <alignment horizontal="left" wrapText="1"/>
    </xf>
    <xf numFmtId="167" fontId="9" fillId="0" borderId="0">
      <alignment horizontal="left" wrapText="1"/>
    </xf>
    <xf numFmtId="0" fontId="38" fillId="0" borderId="0"/>
    <xf numFmtId="167" fontId="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173" fontId="33" fillId="0" borderId="0">
      <alignment horizontal="left" wrapText="1"/>
    </xf>
    <xf numFmtId="0" fontId="9" fillId="0" borderId="0"/>
    <xf numFmtId="0" fontId="9" fillId="0" borderId="0"/>
    <xf numFmtId="0" fontId="1" fillId="0" borderId="0"/>
    <xf numFmtId="0" fontId="9" fillId="0" borderId="0"/>
    <xf numFmtId="0" fontId="9" fillId="0" borderId="0"/>
    <xf numFmtId="0" fontId="33" fillId="0" borderId="0"/>
    <xf numFmtId="0" fontId="9" fillId="0" borderId="0"/>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0" fontId="58" fillId="0" borderId="0"/>
    <xf numFmtId="173" fontId="9" fillId="0" borderId="0">
      <alignment horizontal="left" wrapText="1"/>
    </xf>
    <xf numFmtId="173" fontId="33" fillId="0" borderId="0">
      <alignment horizontal="left" wrapText="1"/>
    </xf>
    <xf numFmtId="173" fontId="9" fillId="0" borderId="0">
      <alignment horizontal="left" wrapText="1"/>
    </xf>
    <xf numFmtId="39" fontId="89" fillId="0" borderId="0" applyNumberFormat="0" applyFill="0" applyBorder="0" applyAlignment="0" applyProtection="0"/>
    <xf numFmtId="39" fontId="89" fillId="0" borderId="0" applyNumberForma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39" fontId="89" fillId="0" borderId="0" applyNumberFormat="0" applyFill="0" applyBorder="0" applyAlignment="0" applyProtection="0"/>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39" fontId="89" fillId="0" borderId="0" applyNumberFormat="0" applyFill="0" applyBorder="0" applyAlignment="0" applyProtection="0"/>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0" fontId="46" fillId="0" borderId="0"/>
    <xf numFmtId="0" fontId="46" fillId="0" borderId="0"/>
    <xf numFmtId="0" fontId="46" fillId="0" borderId="0"/>
    <xf numFmtId="0" fontId="46" fillId="0" borderId="0"/>
    <xf numFmtId="173" fontId="33" fillId="0" borderId="0">
      <alignment horizontal="left" wrapText="1"/>
    </xf>
    <xf numFmtId="0" fontId="9" fillId="0" borderId="0"/>
    <xf numFmtId="173" fontId="9" fillId="0" borderId="0">
      <alignment horizontal="left" wrapText="1"/>
    </xf>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0" fontId="9" fillId="0" borderId="0"/>
    <xf numFmtId="173" fontId="33" fillId="0" borderId="0">
      <alignment horizontal="left" wrapText="1"/>
    </xf>
    <xf numFmtId="175" fontId="33" fillId="0" borderId="0">
      <alignment horizontal="left" wrapText="1"/>
    </xf>
    <xf numFmtId="0" fontId="9" fillId="0" borderId="0"/>
    <xf numFmtId="0" fontId="9" fillId="0" borderId="0"/>
    <xf numFmtId="200" fontId="9" fillId="0" borderId="0">
      <alignment horizontal="left" wrapText="1"/>
    </xf>
    <xf numFmtId="0" fontId="9" fillId="0" borderId="0"/>
    <xf numFmtId="0" fontId="1" fillId="0" borderId="0"/>
    <xf numFmtId="0" fontId="9" fillId="0" borderId="0"/>
    <xf numFmtId="0" fontId="9" fillId="0" borderId="0"/>
    <xf numFmtId="0" fontId="38"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0" fontId="46" fillId="0" borderId="0"/>
    <xf numFmtId="173" fontId="9" fillId="0" borderId="0">
      <alignment horizontal="left" wrapText="1"/>
    </xf>
    <xf numFmtId="173" fontId="33" fillId="0" borderId="0">
      <alignment horizontal="left" wrapText="1"/>
    </xf>
    <xf numFmtId="0" fontId="46" fillId="0" borderId="0"/>
    <xf numFmtId="173" fontId="9" fillId="0" borderId="0">
      <alignment horizontal="left" wrapText="1"/>
    </xf>
    <xf numFmtId="0" fontId="46" fillId="0" borderId="0"/>
    <xf numFmtId="173" fontId="9" fillId="0" borderId="0">
      <alignment horizontal="left" wrapText="1"/>
    </xf>
    <xf numFmtId="173" fontId="33" fillId="0" borderId="0">
      <alignment horizontal="left" wrapText="1"/>
    </xf>
    <xf numFmtId="0" fontId="46" fillId="0" borderId="0"/>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175" fontId="33" fillId="0" borderId="0">
      <alignment horizontal="left" wrapText="1"/>
    </xf>
    <xf numFmtId="175" fontId="33" fillId="0" borderId="0">
      <alignment horizontal="left" wrapText="1"/>
    </xf>
    <xf numFmtId="0" fontId="9" fillId="0" borderId="0"/>
    <xf numFmtId="0" fontId="9" fillId="0" borderId="0"/>
    <xf numFmtId="0" fontId="1" fillId="0" borderId="0"/>
    <xf numFmtId="0" fontId="1" fillId="0" borderId="0"/>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1" fillId="0" borderId="0"/>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173" fontId="9" fillId="0" borderId="0">
      <alignment horizontal="left" wrapText="1"/>
    </xf>
    <xf numFmtId="0" fontId="9" fillId="0" borderId="0"/>
    <xf numFmtId="0" fontId="1" fillId="0" borderId="0"/>
    <xf numFmtId="0" fontId="1" fillId="0" borderId="0"/>
    <xf numFmtId="0" fontId="88" fillId="0" borderId="0"/>
    <xf numFmtId="201"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1" fillId="0" borderId="0"/>
    <xf numFmtId="0" fontId="1" fillId="0" borderId="0"/>
    <xf numFmtId="0" fontId="1" fillId="0" borderId="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9"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9" fillId="39" borderId="34" applyNumberFormat="0" applyFont="0" applyAlignment="0" applyProtection="0"/>
    <xf numFmtId="173" fontId="33" fillId="0" borderId="0">
      <alignment horizontal="left" wrapText="1"/>
    </xf>
    <xf numFmtId="0" fontId="9"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3"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173" fontId="33" fillId="0" borderId="0">
      <alignment horizontal="left" wrapText="1"/>
    </xf>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173" fontId="33" fillId="0" borderId="0">
      <alignment horizontal="left" wrapText="1"/>
    </xf>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90" fillId="68" borderId="35" applyNumberFormat="0" applyAlignment="0" applyProtection="0"/>
    <xf numFmtId="0" fontId="90" fillId="68" borderId="35" applyNumberFormat="0" applyAlignment="0" applyProtection="0"/>
    <xf numFmtId="173" fontId="33" fillId="0" borderId="0">
      <alignment horizontal="left" wrapText="1"/>
    </xf>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23" fillId="7" borderId="10" applyNumberFormat="0" applyAlignment="0" applyProtection="0"/>
    <xf numFmtId="0" fontId="23" fillId="69" borderId="10" applyNumberFormat="0" applyAlignment="0" applyProtection="0"/>
    <xf numFmtId="173" fontId="33" fillId="0" borderId="0">
      <alignment horizontal="left" wrapText="1"/>
    </xf>
    <xf numFmtId="173" fontId="33" fillId="0" borderId="0">
      <alignment horizontal="left" wrapText="1"/>
    </xf>
    <xf numFmtId="0" fontId="90" fillId="69" borderId="35" applyNumberFormat="0" applyAlignment="0" applyProtection="0"/>
    <xf numFmtId="0" fontId="23" fillId="69" borderId="10" applyNumberFormat="0" applyAlignment="0" applyProtection="0"/>
    <xf numFmtId="0" fontId="23" fillId="69" borderId="10" applyNumberFormat="0" applyAlignment="0" applyProtection="0"/>
    <xf numFmtId="0" fontId="49" fillId="0" borderId="0"/>
    <xf numFmtId="0" fontId="49" fillId="0" borderId="0"/>
    <xf numFmtId="0" fontId="49" fillId="0" borderId="0"/>
    <xf numFmtId="0" fontId="50" fillId="0" borderId="0"/>
    <xf numFmtId="0" fontId="50" fillId="0" borderId="0"/>
    <xf numFmtId="0" fontId="51" fillId="0" borderId="0"/>
    <xf numFmtId="0" fontId="52" fillId="0" borderId="0"/>
    <xf numFmtId="0" fontId="52" fillId="0" borderId="0"/>
    <xf numFmtId="0" fontId="51" fillId="0" borderId="0"/>
    <xf numFmtId="0" fontId="50" fillId="0" borderId="0"/>
    <xf numFmtId="0" fontId="52" fillId="0" borderId="0"/>
    <xf numFmtId="2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0" applyFont="0" applyFill="0" applyBorder="0" applyAlignment="0" applyProtection="0"/>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0" applyFont="0" applyFill="0" applyBorder="0" applyAlignment="0" applyProtection="0"/>
    <xf numFmtId="10" fontId="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0" fontId="9" fillId="0" borderId="28"/>
    <xf numFmtId="173" fontId="33" fillId="0" borderId="0">
      <alignment horizontal="left" wrapText="1"/>
    </xf>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0" fontId="9" fillId="0" borderId="28"/>
    <xf numFmtId="9" fontId="58" fillId="0" borderId="0" applyFont="0" applyFill="0" applyBorder="0" applyAlignment="0" applyProtection="0"/>
    <xf numFmtId="9" fontId="5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59"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10" fontId="9" fillId="0" borderId="28"/>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0" fontId="9" fillId="0" borderId="28"/>
    <xf numFmtId="173" fontId="33" fillId="0" borderId="0">
      <alignment horizontal="left" wrapText="1"/>
    </xf>
    <xf numFmtId="9" fontId="38"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1" fillId="0" borderId="0" applyFont="0" applyFill="0" applyBorder="0" applyAlignment="0" applyProtection="0"/>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28"/>
    <xf numFmtId="9" fontId="45" fillId="0" borderId="0" applyFont="0" applyFill="0" applyBorder="0" applyAlignment="0" applyProtection="0"/>
    <xf numFmtId="173" fontId="33" fillId="0" borderId="0">
      <alignment horizontal="left" wrapText="1"/>
    </xf>
    <xf numFmtId="10" fontId="9" fillId="0" borderId="28"/>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28"/>
    <xf numFmtId="10" fontId="9" fillId="0" borderId="28"/>
    <xf numFmtId="173" fontId="33" fillId="0" borderId="0">
      <alignment horizontal="left" wrapText="1"/>
    </xf>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33"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173" fontId="33" fillId="0" borderId="0">
      <alignment horizontal="left" wrapText="1"/>
    </xf>
    <xf numFmtId="9" fontId="45"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73" fontId="33" fillId="0" borderId="0">
      <alignment horizontal="left" wrapText="1"/>
    </xf>
    <xf numFmtId="9" fontId="45"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41" fontId="9" fillId="77" borderId="28"/>
    <xf numFmtId="41" fontId="9" fillId="77" borderId="28"/>
    <xf numFmtId="173" fontId="33" fillId="0" borderId="0">
      <alignment horizontal="left" wrapText="1"/>
    </xf>
    <xf numFmtId="41" fontId="9" fillId="77" borderId="28"/>
    <xf numFmtId="41" fontId="9" fillId="77" borderId="28"/>
    <xf numFmtId="173" fontId="33" fillId="0" borderId="0">
      <alignment horizontal="left" wrapText="1"/>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73" fontId="33" fillId="0" borderId="0">
      <alignment horizontal="left" wrapText="1"/>
    </xf>
    <xf numFmtId="173" fontId="33" fillId="0" borderId="0">
      <alignment horizontal="left" wrapText="1"/>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73" fontId="33" fillId="0" borderId="0">
      <alignment horizontal="left" wrapText="1"/>
    </xf>
    <xf numFmtId="173" fontId="33" fillId="0" borderId="0">
      <alignment horizontal="left" wrapText="1"/>
    </xf>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173" fontId="33" fillId="0" borderId="0">
      <alignment horizontal="left" wrapText="1"/>
    </xf>
    <xf numFmtId="173" fontId="33" fillId="0" borderId="0">
      <alignment horizontal="left" wrapText="1"/>
    </xf>
    <xf numFmtId="4" fontId="46" fillId="0" borderId="0" applyFont="0" applyFill="0" applyBorder="0" applyAlignment="0" applyProtection="0"/>
    <xf numFmtId="0" fontId="91" fillId="0" borderId="20">
      <alignment horizontal="center"/>
    </xf>
    <xf numFmtId="0" fontId="91" fillId="0" borderId="20">
      <alignment horizontal="center"/>
    </xf>
    <xf numFmtId="173" fontId="33" fillId="0" borderId="0">
      <alignment horizontal="left" wrapText="1"/>
    </xf>
    <xf numFmtId="173" fontId="33" fillId="0" borderId="0">
      <alignment horizontal="left" wrapText="1"/>
    </xf>
    <xf numFmtId="0" fontId="91" fillId="0" borderId="20">
      <alignment horizontal="center"/>
    </xf>
    <xf numFmtId="3" fontId="46" fillId="0" borderId="0" applyFont="0" applyFill="0" applyBorder="0" applyAlignment="0" applyProtection="0"/>
    <xf numFmtId="3" fontId="46" fillId="0" borderId="0" applyFont="0" applyFill="0" applyBorder="0" applyAlignment="0" applyProtection="0"/>
    <xf numFmtId="173" fontId="33" fillId="0" borderId="0">
      <alignment horizontal="left" wrapText="1"/>
    </xf>
    <xf numFmtId="173" fontId="33" fillId="0" borderId="0">
      <alignment horizontal="left" wrapText="1"/>
    </xf>
    <xf numFmtId="3" fontId="46" fillId="0" borderId="0" applyFont="0" applyFill="0" applyBorder="0" applyAlignment="0" applyProtection="0"/>
    <xf numFmtId="0" fontId="46" fillId="78" borderId="0" applyNumberFormat="0" applyFont="0" applyBorder="0" applyAlignment="0" applyProtection="0"/>
    <xf numFmtId="0" fontId="46" fillId="78" borderId="0" applyNumberFormat="0" applyFont="0" applyBorder="0" applyAlignment="0" applyProtection="0"/>
    <xf numFmtId="173" fontId="33" fillId="0" borderId="0">
      <alignment horizontal="left" wrapText="1"/>
    </xf>
    <xf numFmtId="173" fontId="33" fillId="0" borderId="0">
      <alignment horizontal="left" wrapText="1"/>
    </xf>
    <xf numFmtId="0" fontId="46" fillId="78" borderId="0" applyNumberFormat="0" applyFont="0" applyBorder="0" applyAlignment="0" applyProtection="0"/>
    <xf numFmtId="0" fontId="51" fillId="0" borderId="0"/>
    <xf numFmtId="0" fontId="52" fillId="0" borderId="0"/>
    <xf numFmtId="0" fontId="52" fillId="0" borderId="0"/>
    <xf numFmtId="0" fontId="51" fillId="0" borderId="0"/>
    <xf numFmtId="0" fontId="52" fillId="0" borderId="0"/>
    <xf numFmtId="3" fontId="92" fillId="0" borderId="0" applyFill="0" applyBorder="0" applyAlignment="0" applyProtection="0"/>
    <xf numFmtId="0" fontId="93" fillId="0" borderId="0"/>
    <xf numFmtId="0" fontId="94" fillId="0" borderId="0"/>
    <xf numFmtId="0" fontId="94" fillId="0" borderId="0"/>
    <xf numFmtId="0" fontId="93" fillId="0" borderId="0"/>
    <xf numFmtId="0" fontId="94" fillId="0" borderId="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173" fontId="33" fillId="0" borderId="0">
      <alignment horizontal="left" wrapText="1"/>
    </xf>
    <xf numFmtId="173" fontId="33" fillId="0" borderId="0">
      <alignment horizontal="left" wrapText="1"/>
    </xf>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42" fontId="9" fillId="67" borderId="0"/>
    <xf numFmtId="0" fontId="50" fillId="79" borderId="0"/>
    <xf numFmtId="0" fontId="95" fillId="79" borderId="29"/>
    <xf numFmtId="0" fontId="96" fillId="80" borderId="3"/>
    <xf numFmtId="0" fontId="97" fillId="79" borderId="36"/>
    <xf numFmtId="42" fontId="9" fillId="67" borderId="0"/>
    <xf numFmtId="173" fontId="33" fillId="0" borderId="0">
      <alignment horizontal="left" wrapText="1"/>
    </xf>
    <xf numFmtId="42" fontId="9" fillId="67" borderId="0"/>
    <xf numFmtId="173" fontId="33" fillId="0" borderId="0">
      <alignment horizontal="left" wrapText="1"/>
    </xf>
    <xf numFmtId="42" fontId="9" fillId="67" borderId="0"/>
    <xf numFmtId="42" fontId="9" fillId="67" borderId="0"/>
    <xf numFmtId="42" fontId="9" fillId="67" borderId="37">
      <alignment vertical="center"/>
    </xf>
    <xf numFmtId="42" fontId="9" fillId="67" borderId="37">
      <alignment vertical="center"/>
    </xf>
    <xf numFmtId="173" fontId="33" fillId="0" borderId="0">
      <alignment horizontal="left" wrapText="1"/>
    </xf>
    <xf numFmtId="42" fontId="9" fillId="67" borderId="37">
      <alignment vertical="center"/>
    </xf>
    <xf numFmtId="173" fontId="33" fillId="0" borderId="0">
      <alignment horizontal="left" wrapText="1"/>
    </xf>
    <xf numFmtId="42" fontId="9" fillId="67" borderId="37">
      <alignment vertical="center"/>
    </xf>
    <xf numFmtId="173" fontId="33" fillId="0" borderId="0">
      <alignment horizontal="left" wrapText="1"/>
    </xf>
    <xf numFmtId="0" fontId="14" fillId="67" borderId="1" applyNumberFormat="0">
      <alignment horizontal="center" vertical="center" wrapText="1"/>
    </xf>
    <xf numFmtId="0" fontId="14" fillId="67" borderId="38" applyNumberFormat="0">
      <alignment horizontal="center" vertical="center" wrapText="1"/>
    </xf>
    <xf numFmtId="0" fontId="14" fillId="67" borderId="1" applyNumberFormat="0">
      <alignment horizontal="center" vertical="center" wrapText="1"/>
    </xf>
    <xf numFmtId="173" fontId="33" fillId="0" borderId="0">
      <alignment horizontal="left" wrapText="1"/>
    </xf>
    <xf numFmtId="10" fontId="9" fillId="67" borderId="0"/>
    <xf numFmtId="10" fontId="9" fillId="67" borderId="0"/>
    <xf numFmtId="10" fontId="9" fillId="67" borderId="0"/>
    <xf numFmtId="173" fontId="33" fillId="0" borderId="0">
      <alignment horizontal="left" wrapText="1"/>
    </xf>
    <xf numFmtId="173" fontId="33" fillId="0" borderId="0">
      <alignment horizontal="left" wrapText="1"/>
    </xf>
    <xf numFmtId="10" fontId="9" fillId="67" borderId="0"/>
    <xf numFmtId="10" fontId="9" fillId="67" borderId="0"/>
    <xf numFmtId="173" fontId="33" fillId="0" borderId="0">
      <alignment horizontal="left" wrapText="1"/>
    </xf>
    <xf numFmtId="10" fontId="9" fillId="67" borderId="0"/>
    <xf numFmtId="173" fontId="33" fillId="0" borderId="0">
      <alignment horizontal="left" wrapText="1"/>
    </xf>
    <xf numFmtId="10" fontId="9" fillId="67" borderId="0"/>
    <xf numFmtId="173" fontId="33" fillId="0" borderId="0">
      <alignment horizontal="left" wrapText="1"/>
    </xf>
    <xf numFmtId="10" fontId="9" fillId="67" borderId="0"/>
    <xf numFmtId="173" fontId="33" fillId="0" borderId="0">
      <alignment horizontal="left" wrapText="1"/>
    </xf>
    <xf numFmtId="173" fontId="33" fillId="0" borderId="0">
      <alignment horizontal="left" wrapText="1"/>
    </xf>
    <xf numFmtId="10" fontId="9" fillId="67" borderId="0"/>
    <xf numFmtId="10" fontId="9" fillId="67" borderId="0"/>
    <xf numFmtId="10" fontId="9" fillId="67" borderId="0"/>
    <xf numFmtId="201" fontId="9" fillId="67" borderId="0"/>
    <xf numFmtId="201" fontId="9" fillId="67" borderId="0"/>
    <xf numFmtId="201" fontId="9" fillId="67" borderId="0"/>
    <xf numFmtId="173" fontId="33" fillId="0" borderId="0">
      <alignment horizontal="left" wrapText="1"/>
    </xf>
    <xf numFmtId="173" fontId="33" fillId="0" borderId="0">
      <alignment horizontal="left" wrapText="1"/>
    </xf>
    <xf numFmtId="201" fontId="9" fillId="67" borderId="0"/>
    <xf numFmtId="201" fontId="9" fillId="67" borderId="0"/>
    <xf numFmtId="173" fontId="33" fillId="0" borderId="0">
      <alignment horizontal="left" wrapText="1"/>
    </xf>
    <xf numFmtId="201" fontId="9" fillId="67" borderId="0"/>
    <xf numFmtId="173" fontId="33" fillId="0" borderId="0">
      <alignment horizontal="left" wrapText="1"/>
    </xf>
    <xf numFmtId="201" fontId="9" fillId="67" borderId="0"/>
    <xf numFmtId="173" fontId="33" fillId="0" borderId="0">
      <alignment horizontal="left" wrapText="1"/>
    </xf>
    <xf numFmtId="201" fontId="9" fillId="67" borderId="0"/>
    <xf numFmtId="173" fontId="33" fillId="0" borderId="0">
      <alignment horizontal="left" wrapText="1"/>
    </xf>
    <xf numFmtId="173" fontId="33" fillId="0" borderId="0">
      <alignment horizontal="left" wrapText="1"/>
    </xf>
    <xf numFmtId="201" fontId="9" fillId="67" borderId="0"/>
    <xf numFmtId="201" fontId="9" fillId="67" borderId="0"/>
    <xf numFmtId="201" fontId="9" fillId="67" borderId="0"/>
    <xf numFmtId="42" fontId="9" fillId="67" borderId="0"/>
    <xf numFmtId="165" fontId="76" fillId="0" borderId="0" applyBorder="0" applyAlignment="0"/>
    <xf numFmtId="165" fontId="76" fillId="0" borderId="0" applyBorder="0" applyAlignment="0"/>
    <xf numFmtId="165" fontId="76" fillId="0" borderId="0" applyBorder="0" applyAlignment="0"/>
    <xf numFmtId="42" fontId="9" fillId="67" borderId="2">
      <alignment horizontal="left"/>
    </xf>
    <xf numFmtId="42" fontId="9" fillId="67" borderId="2">
      <alignment horizontal="left"/>
    </xf>
    <xf numFmtId="173" fontId="33" fillId="0" borderId="0">
      <alignment horizontal="left" wrapText="1"/>
    </xf>
    <xf numFmtId="42" fontId="9" fillId="67" borderId="2">
      <alignment horizontal="left"/>
    </xf>
    <xf numFmtId="173" fontId="33" fillId="0" borderId="0">
      <alignment horizontal="left" wrapText="1"/>
    </xf>
    <xf numFmtId="42" fontId="9" fillId="67" borderId="2">
      <alignment horizontal="left"/>
    </xf>
    <xf numFmtId="173" fontId="33" fillId="0" borderId="0">
      <alignment horizontal="left" wrapText="1"/>
    </xf>
    <xf numFmtId="201" fontId="98" fillId="67" borderId="2">
      <alignment horizontal="left"/>
    </xf>
    <xf numFmtId="173" fontId="33" fillId="0" borderId="0">
      <alignment horizontal="left" wrapText="1"/>
    </xf>
    <xf numFmtId="201" fontId="98" fillId="67" borderId="2">
      <alignment horizontal="left"/>
    </xf>
    <xf numFmtId="165" fontId="76" fillId="0" borderId="0" applyBorder="0" applyAlignment="0"/>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03" fontId="9" fillId="0" borderId="0" applyFont="0" applyFill="0" applyAlignment="0">
      <alignment horizontal="right"/>
    </xf>
    <xf numFmtId="203" fontId="9" fillId="0" borderId="0" applyFont="0" applyFill="0" applyAlignment="0">
      <alignment horizontal="right"/>
    </xf>
    <xf numFmtId="203" fontId="9" fillId="0" borderId="0" applyFont="0" applyFill="0" applyAlignment="0">
      <alignment horizontal="right"/>
    </xf>
    <xf numFmtId="173" fontId="33" fillId="0" borderId="0">
      <alignment horizontal="left" wrapText="1"/>
    </xf>
    <xf numFmtId="173" fontId="33" fillId="0" borderId="0">
      <alignment horizontal="left" wrapText="1"/>
    </xf>
    <xf numFmtId="203" fontId="9" fillId="0" borderId="0" applyFont="0" applyFill="0" applyAlignment="0">
      <alignment horizontal="right"/>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173" fontId="33" fillId="0" borderId="0">
      <alignment horizontal="left" wrapText="1"/>
    </xf>
    <xf numFmtId="203" fontId="9" fillId="0" borderId="0" applyFont="0" applyFill="0" applyAlignment="0">
      <alignment horizontal="right"/>
    </xf>
    <xf numFmtId="203" fontId="9" fillId="0" borderId="0" applyFont="0" applyFill="0" applyAlignment="0">
      <alignment horizontal="right"/>
    </xf>
    <xf numFmtId="4" fontId="11" fillId="76" borderId="35" applyNumberFormat="0" applyProtection="0">
      <alignment vertical="center"/>
    </xf>
    <xf numFmtId="173" fontId="33" fillId="0" borderId="0">
      <alignment horizontal="left" wrapText="1"/>
    </xf>
    <xf numFmtId="4" fontId="11" fillId="76" borderId="35" applyNumberFormat="0" applyProtection="0">
      <alignment vertical="center"/>
    </xf>
    <xf numFmtId="4" fontId="99" fillId="76" borderId="35" applyNumberFormat="0" applyProtection="0">
      <alignment vertical="center"/>
    </xf>
    <xf numFmtId="173" fontId="33" fillId="0" borderId="0">
      <alignment horizontal="left" wrapText="1"/>
    </xf>
    <xf numFmtId="4" fontId="99" fillId="76" borderId="35" applyNumberFormat="0" applyProtection="0">
      <alignment vertical="center"/>
    </xf>
    <xf numFmtId="4" fontId="11" fillId="76" borderId="35" applyNumberFormat="0" applyProtection="0">
      <alignment horizontal="left" vertical="center" indent="1"/>
    </xf>
    <xf numFmtId="173" fontId="33" fillId="0" borderId="0">
      <alignment horizontal="left" wrapText="1"/>
    </xf>
    <xf numFmtId="4" fontId="11" fillId="76" borderId="35" applyNumberFormat="0" applyProtection="0">
      <alignment horizontal="left" vertical="center" indent="1"/>
    </xf>
    <xf numFmtId="4" fontId="11" fillId="76" borderId="35" applyNumberFormat="0" applyProtection="0">
      <alignment horizontal="left" vertical="center" indent="1"/>
    </xf>
    <xf numFmtId="173" fontId="33" fillId="0" borderId="0">
      <alignment horizontal="left" wrapText="1"/>
    </xf>
    <xf numFmtId="4" fontId="11" fillId="76"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2" borderId="0"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83" borderId="35" applyNumberFormat="0" applyProtection="0">
      <alignment horizontal="right" vertical="center"/>
    </xf>
    <xf numFmtId="173" fontId="33" fillId="0" borderId="0">
      <alignment horizontal="left" wrapText="1"/>
    </xf>
    <xf numFmtId="4" fontId="11" fillId="83" borderId="35" applyNumberFormat="0" applyProtection="0">
      <alignment horizontal="right" vertical="center"/>
    </xf>
    <xf numFmtId="4" fontId="11" fillId="84" borderId="35" applyNumberFormat="0" applyProtection="0">
      <alignment horizontal="right" vertical="center"/>
    </xf>
    <xf numFmtId="173" fontId="33" fillId="0" borderId="0">
      <alignment horizontal="left" wrapText="1"/>
    </xf>
    <xf numFmtId="4" fontId="11" fillId="84" borderId="35" applyNumberFormat="0" applyProtection="0">
      <alignment horizontal="right" vertical="center"/>
    </xf>
    <xf numFmtId="4" fontId="11" fillId="85" borderId="35" applyNumberFormat="0" applyProtection="0">
      <alignment horizontal="right" vertical="center"/>
    </xf>
    <xf numFmtId="173" fontId="33" fillId="0" borderId="0">
      <alignment horizontal="left" wrapText="1"/>
    </xf>
    <xf numFmtId="4" fontId="11" fillId="85" borderId="35" applyNumberFormat="0" applyProtection="0">
      <alignment horizontal="right" vertical="center"/>
    </xf>
    <xf numFmtId="4" fontId="11" fillId="86" borderId="35" applyNumberFormat="0" applyProtection="0">
      <alignment horizontal="right" vertical="center"/>
    </xf>
    <xf numFmtId="173" fontId="33" fillId="0" borderId="0">
      <alignment horizontal="left" wrapText="1"/>
    </xf>
    <xf numFmtId="4" fontId="11" fillId="86" borderId="35" applyNumberFormat="0" applyProtection="0">
      <alignment horizontal="right" vertical="center"/>
    </xf>
    <xf numFmtId="4" fontId="11" fillId="87" borderId="35" applyNumberFormat="0" applyProtection="0">
      <alignment horizontal="right" vertical="center"/>
    </xf>
    <xf numFmtId="173" fontId="33" fillId="0" borderId="0">
      <alignment horizontal="left" wrapText="1"/>
    </xf>
    <xf numFmtId="4" fontId="11" fillId="87" borderId="35" applyNumberFormat="0" applyProtection="0">
      <alignment horizontal="right" vertical="center"/>
    </xf>
    <xf numFmtId="4" fontId="11" fillId="88" borderId="35" applyNumberFormat="0" applyProtection="0">
      <alignment horizontal="right" vertical="center"/>
    </xf>
    <xf numFmtId="173" fontId="33" fillId="0" borderId="0">
      <alignment horizontal="left" wrapText="1"/>
    </xf>
    <xf numFmtId="4" fontId="11" fillId="88" borderId="35" applyNumberFormat="0" applyProtection="0">
      <alignment horizontal="right" vertical="center"/>
    </xf>
    <xf numFmtId="4" fontId="11" fillId="89" borderId="35" applyNumberFormat="0" applyProtection="0">
      <alignment horizontal="right" vertical="center"/>
    </xf>
    <xf numFmtId="173" fontId="33" fillId="0" borderId="0">
      <alignment horizontal="left" wrapText="1"/>
    </xf>
    <xf numFmtId="4" fontId="11" fillId="89" borderId="35" applyNumberFormat="0" applyProtection="0">
      <alignment horizontal="right" vertical="center"/>
    </xf>
    <xf numFmtId="4" fontId="11" fillId="90" borderId="35" applyNumberFormat="0" applyProtection="0">
      <alignment horizontal="right" vertical="center"/>
    </xf>
    <xf numFmtId="173" fontId="33" fillId="0" borderId="0">
      <alignment horizontal="left" wrapText="1"/>
    </xf>
    <xf numFmtId="4" fontId="11" fillId="90" borderId="35" applyNumberFormat="0" applyProtection="0">
      <alignment horizontal="right" vertical="center"/>
    </xf>
    <xf numFmtId="4" fontId="11" fillId="91" borderId="35" applyNumberFormat="0" applyProtection="0">
      <alignment horizontal="right" vertical="center"/>
    </xf>
    <xf numFmtId="173" fontId="33" fillId="0" borderId="0">
      <alignment horizontal="left" wrapText="1"/>
    </xf>
    <xf numFmtId="4" fontId="11" fillId="91" borderId="35" applyNumberFormat="0" applyProtection="0">
      <alignment horizontal="right" vertical="center"/>
    </xf>
    <xf numFmtId="4" fontId="12" fillId="92" borderId="35" applyNumberFormat="0" applyProtection="0">
      <alignment horizontal="left" vertical="center" indent="1"/>
    </xf>
    <xf numFmtId="4" fontId="12" fillId="93" borderId="0" applyNumberFormat="0" applyProtection="0">
      <alignment horizontal="left" vertical="center" indent="1"/>
    </xf>
    <xf numFmtId="4" fontId="12" fillId="93" borderId="0" applyNumberFormat="0" applyProtection="0">
      <alignment horizontal="left" vertical="center" indent="1"/>
    </xf>
    <xf numFmtId="4" fontId="12" fillId="92" borderId="35" applyNumberFormat="0" applyProtection="0">
      <alignment horizontal="left" vertical="center" indent="1"/>
    </xf>
    <xf numFmtId="4" fontId="11" fillId="94" borderId="39" applyNumberFormat="0" applyProtection="0">
      <alignment horizontal="left" vertical="center" indent="1"/>
    </xf>
    <xf numFmtId="4" fontId="11" fillId="94" borderId="0" applyNumberFormat="0" applyProtection="0">
      <alignment horizontal="left" vertical="center" indent="1"/>
    </xf>
    <xf numFmtId="4" fontId="11" fillId="94" borderId="0" applyNumberFormat="0" applyProtection="0">
      <alignment horizontal="left" vertical="center" indent="1"/>
    </xf>
    <xf numFmtId="4" fontId="100" fillId="95" borderId="0" applyNumberFormat="0" applyProtection="0">
      <alignment horizontal="left" vertical="center" indent="1"/>
    </xf>
    <xf numFmtId="4" fontId="100" fillId="95" borderId="0" applyNumberFormat="0" applyProtection="0">
      <alignment horizontal="left" vertical="center" indent="1"/>
    </xf>
    <xf numFmtId="4" fontId="100" fillId="95" borderId="0"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01" fillId="0" borderId="0" applyNumberFormat="0" applyProtection="0">
      <alignment horizontal="left" vertical="center" indent="1"/>
    </xf>
    <xf numFmtId="4" fontId="11" fillId="94"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4" fontId="101" fillId="0" borderId="0" applyNumberFormat="0" applyProtection="0">
      <alignment horizontal="left" vertical="center" indent="1"/>
    </xf>
    <xf numFmtId="4" fontId="11"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173" fontId="33" fillId="0" borderId="0">
      <alignment horizontal="left" wrapTex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173" fontId="33" fillId="0" borderId="0">
      <alignment horizontal="left" wrapTex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173" fontId="33" fillId="0" borderId="0">
      <alignment horizontal="left" wrapTex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173" fontId="33" fillId="0" borderId="0">
      <alignment horizontal="left" wrapTex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69" borderId="27" applyNumberFormat="0">
      <protection locked="0"/>
    </xf>
    <xf numFmtId="0" fontId="9" fillId="69" borderId="27" applyNumberFormat="0">
      <protection locked="0"/>
    </xf>
    <xf numFmtId="173" fontId="33" fillId="0" borderId="0">
      <alignment horizontal="left" wrapText="1"/>
    </xf>
    <xf numFmtId="173" fontId="33" fillId="0" borderId="0">
      <alignment horizontal="left" wrapText="1"/>
    </xf>
    <xf numFmtId="0" fontId="76" fillId="64" borderId="40" applyBorder="0"/>
    <xf numFmtId="4" fontId="11" fillId="98" borderId="35" applyNumberFormat="0" applyProtection="0">
      <alignment vertical="center"/>
    </xf>
    <xf numFmtId="173" fontId="33" fillId="0" borderId="0">
      <alignment horizontal="left" wrapText="1"/>
    </xf>
    <xf numFmtId="4" fontId="11" fillId="98" borderId="35" applyNumberFormat="0" applyProtection="0">
      <alignment vertical="center"/>
    </xf>
    <xf numFmtId="4" fontId="99" fillId="98" borderId="35" applyNumberFormat="0" applyProtection="0">
      <alignment vertical="center"/>
    </xf>
    <xf numFmtId="173" fontId="33" fillId="0" borderId="0">
      <alignment horizontal="left" wrapText="1"/>
    </xf>
    <xf numFmtId="4" fontId="99" fillId="98" borderId="35" applyNumberFormat="0" applyProtection="0">
      <alignment vertical="center"/>
    </xf>
    <xf numFmtId="4" fontId="11" fillId="98" borderId="35" applyNumberFormat="0" applyProtection="0">
      <alignment horizontal="left" vertical="center" indent="1"/>
    </xf>
    <xf numFmtId="173" fontId="33" fillId="0" borderId="0">
      <alignment horizontal="left" wrapText="1"/>
    </xf>
    <xf numFmtId="4" fontId="11" fillId="98" borderId="35" applyNumberFormat="0" applyProtection="0">
      <alignment horizontal="left" vertical="center" indent="1"/>
    </xf>
    <xf numFmtId="4" fontId="11" fillId="98" borderId="35" applyNumberFormat="0" applyProtection="0">
      <alignment horizontal="left" vertical="center" indent="1"/>
    </xf>
    <xf numFmtId="173" fontId="33" fillId="0" borderId="0">
      <alignment horizontal="left" wrapText="1"/>
    </xf>
    <xf numFmtId="4" fontId="11" fillId="98" borderId="35" applyNumberFormat="0" applyProtection="0">
      <alignment horizontal="left" vertical="center" indent="1"/>
    </xf>
    <xf numFmtId="4" fontId="11" fillId="94" borderId="35" applyNumberFormat="0" applyProtection="0">
      <alignment horizontal="right" vertical="center"/>
    </xf>
    <xf numFmtId="4" fontId="11" fillId="94" borderId="35" applyNumberFormat="0" applyProtection="0">
      <alignment horizontal="right" vertical="center"/>
    </xf>
    <xf numFmtId="173" fontId="33" fillId="0" borderId="0">
      <alignment horizontal="left" wrapText="1"/>
    </xf>
    <xf numFmtId="4" fontId="11" fillId="94" borderId="35" applyNumberFormat="0" applyProtection="0">
      <alignment horizontal="right" vertical="center"/>
    </xf>
    <xf numFmtId="4" fontId="99" fillId="94" borderId="35" applyNumberFormat="0" applyProtection="0">
      <alignment horizontal="right" vertical="center"/>
    </xf>
    <xf numFmtId="173" fontId="33" fillId="0" borderId="0">
      <alignment horizontal="left" wrapText="1"/>
    </xf>
    <xf numFmtId="4" fontId="99" fillId="94" borderId="35" applyNumberFormat="0" applyProtection="0">
      <alignment horizontal="right" vertical="center"/>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102" fillId="0" borderId="0"/>
    <xf numFmtId="0" fontId="102" fillId="0" borderId="0"/>
    <xf numFmtId="0" fontId="103" fillId="0" borderId="0" applyNumberFormat="0" applyProtection="0">
      <alignment horizontal="left" indent="5"/>
    </xf>
    <xf numFmtId="0" fontId="65" fillId="99" borderId="27"/>
    <xf numFmtId="4" fontId="104" fillId="94" borderId="35" applyNumberFormat="0" applyProtection="0">
      <alignment horizontal="right" vertical="center"/>
    </xf>
    <xf numFmtId="173" fontId="33" fillId="0" borderId="0">
      <alignment horizontal="left" wrapText="1"/>
    </xf>
    <xf numFmtId="4" fontId="104" fillId="94" borderId="35" applyNumberFormat="0" applyProtection="0">
      <alignment horizontal="right" vertical="center"/>
    </xf>
    <xf numFmtId="39" fontId="9" fillId="100" borderId="0"/>
    <xf numFmtId="39" fontId="9" fillId="100" borderId="0"/>
    <xf numFmtId="39" fontId="9" fillId="100" borderId="0"/>
    <xf numFmtId="173" fontId="33" fillId="0" borderId="0">
      <alignment horizontal="left" wrapText="1"/>
    </xf>
    <xf numFmtId="173" fontId="33" fillId="0" borderId="0">
      <alignment horizontal="left" wrapText="1"/>
    </xf>
    <xf numFmtId="39" fontId="9" fillId="100" borderId="0"/>
    <xf numFmtId="39" fontId="9" fillId="100" borderId="0"/>
    <xf numFmtId="173" fontId="33" fillId="0" borderId="0">
      <alignment horizontal="left" wrapText="1"/>
    </xf>
    <xf numFmtId="39" fontId="9" fillId="100" borderId="0"/>
    <xf numFmtId="173" fontId="33" fillId="0" borderId="0">
      <alignment horizontal="left" wrapText="1"/>
    </xf>
    <xf numFmtId="39" fontId="9" fillId="100" borderId="0"/>
    <xf numFmtId="173" fontId="33" fillId="0" borderId="0">
      <alignment horizontal="left" wrapText="1"/>
    </xf>
    <xf numFmtId="39" fontId="9" fillId="100" borderId="0"/>
    <xf numFmtId="173" fontId="33" fillId="0" borderId="0">
      <alignment horizontal="left" wrapText="1"/>
    </xf>
    <xf numFmtId="173" fontId="33" fillId="0" borderId="0">
      <alignment horizontal="left" wrapText="1"/>
    </xf>
    <xf numFmtId="39" fontId="9" fillId="100" borderId="0"/>
    <xf numFmtId="39" fontId="9" fillId="100" borderId="0"/>
    <xf numFmtId="39" fontId="9" fillId="100" borderId="0"/>
    <xf numFmtId="0" fontId="105" fillId="0" borderId="0" applyNumberFormat="0" applyFill="0" applyBorder="0" applyAlignment="0" applyProtection="0"/>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173" fontId="33" fillId="0" borderId="0">
      <alignment horizontal="left" wrapText="1"/>
    </xf>
    <xf numFmtId="38" fontId="65" fillId="0" borderId="41"/>
    <xf numFmtId="0" fontId="65" fillId="0" borderId="41"/>
    <xf numFmtId="38" fontId="65" fillId="0" borderId="41"/>
    <xf numFmtId="38" fontId="65" fillId="0" borderId="41"/>
    <xf numFmtId="38" fontId="65" fillId="0" borderId="41"/>
    <xf numFmtId="38" fontId="76" fillId="0" borderId="2"/>
    <xf numFmtId="38" fontId="76" fillId="0" borderId="2"/>
    <xf numFmtId="38" fontId="76" fillId="0" borderId="2"/>
    <xf numFmtId="38" fontId="76" fillId="0" borderId="2"/>
    <xf numFmtId="173" fontId="33" fillId="0" borderId="0">
      <alignment horizontal="left" wrapText="1"/>
    </xf>
    <xf numFmtId="0" fontId="76" fillId="0" borderId="2"/>
    <xf numFmtId="0" fontId="76" fillId="0" borderId="2"/>
    <xf numFmtId="0" fontId="76" fillId="0" borderId="2"/>
    <xf numFmtId="38" fontId="76" fillId="0" borderId="2"/>
    <xf numFmtId="38" fontId="76" fillId="0" borderId="2"/>
    <xf numFmtId="38" fontId="76" fillId="0" borderId="2"/>
    <xf numFmtId="38" fontId="76" fillId="0" borderId="2"/>
    <xf numFmtId="39" fontId="33" fillId="101" borderId="0"/>
    <xf numFmtId="39" fontId="33" fillId="101" borderId="0"/>
    <xf numFmtId="173" fontId="9" fillId="0" borderId="0">
      <alignment horizontal="left" wrapText="1"/>
    </xf>
    <xf numFmtId="204" fontId="9" fillId="0" borderId="0">
      <alignment horizontal="left" wrapText="1"/>
    </xf>
    <xf numFmtId="196"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201" fontId="9" fillId="0" borderId="0">
      <alignment horizontal="left" wrapText="1"/>
    </xf>
    <xf numFmtId="201" fontId="9" fillId="0" borderId="0">
      <alignment horizontal="left" wrapText="1"/>
    </xf>
    <xf numFmtId="201" fontId="9" fillId="0" borderId="0">
      <alignment horizontal="left" wrapText="1"/>
    </xf>
    <xf numFmtId="202" fontId="9" fillId="0" borderId="0">
      <alignment horizontal="left" wrapText="1"/>
    </xf>
    <xf numFmtId="201" fontId="9" fillId="0" borderId="0">
      <alignment horizontal="left" wrapText="1"/>
    </xf>
    <xf numFmtId="201"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99" fontId="9" fillId="0" borderId="0">
      <alignment horizontal="left" wrapText="1"/>
    </xf>
    <xf numFmtId="199" fontId="9" fillId="0" borderId="0">
      <alignment horizontal="left" wrapText="1"/>
    </xf>
    <xf numFmtId="173" fontId="33" fillId="0" borderId="0">
      <alignment horizontal="left" wrapText="1"/>
    </xf>
    <xf numFmtId="173" fontId="33" fillId="0" borderId="0">
      <alignment horizontal="left" wrapText="1"/>
    </xf>
    <xf numFmtId="199" fontId="9" fillId="0" borderId="0">
      <alignment horizontal="left" wrapText="1"/>
    </xf>
    <xf numFmtId="204" fontId="9" fillId="0" borderId="0">
      <alignment horizontal="left" wrapText="1"/>
    </xf>
    <xf numFmtId="204" fontId="9" fillId="0" borderId="0">
      <alignment horizontal="left" wrapText="1"/>
    </xf>
    <xf numFmtId="173" fontId="33"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202" fontId="9" fillId="0" borderId="0">
      <alignment horizontal="left" wrapText="1"/>
    </xf>
    <xf numFmtId="202" fontId="9" fillId="0" borderId="0">
      <alignment horizontal="left" wrapText="1"/>
    </xf>
    <xf numFmtId="197" fontId="9" fillId="0" borderId="0">
      <alignment horizontal="left" wrapText="1"/>
    </xf>
    <xf numFmtId="173" fontId="9" fillId="0" borderId="0">
      <alignment horizontal="left" wrapText="1"/>
    </xf>
    <xf numFmtId="202" fontId="9" fillId="0" borderId="0">
      <alignment horizontal="left" wrapText="1"/>
    </xf>
    <xf numFmtId="173" fontId="9" fillId="0" borderId="0">
      <alignment horizontal="left" wrapText="1"/>
    </xf>
    <xf numFmtId="0" fontId="9" fillId="0" borderId="0">
      <alignment horizontal="left" wrapText="1"/>
    </xf>
    <xf numFmtId="0" fontId="11" fillId="0" borderId="0" applyNumberFormat="0" applyBorder="0" applyAlignment="0"/>
    <xf numFmtId="0" fontId="106" fillId="0" borderId="0" applyNumberFormat="0" applyBorder="0" applyAlignment="0"/>
    <xf numFmtId="0" fontId="12" fillId="0" borderId="0" applyNumberFormat="0" applyBorder="0" applyAlignment="0"/>
    <xf numFmtId="0" fontId="107" fillId="0" borderId="0"/>
    <xf numFmtId="0" fontId="66" fillId="0" borderId="36"/>
    <xf numFmtId="40" fontId="108" fillId="0" borderId="0" applyBorder="0">
      <alignment horizontal="right"/>
    </xf>
    <xf numFmtId="41" fontId="109" fillId="67" borderId="0">
      <alignment horizontal="left"/>
    </xf>
    <xf numFmtId="40" fontId="108" fillId="0" borderId="0" applyBorder="0">
      <alignment horizontal="right"/>
    </xf>
    <xf numFmtId="41" fontId="109" fillId="67" borderId="0">
      <alignment horizontal="left"/>
    </xf>
    <xf numFmtId="40" fontId="108" fillId="0" borderId="0" applyBorder="0">
      <alignment horizontal="right"/>
    </xf>
    <xf numFmtId="41" fontId="109" fillId="67" borderId="0">
      <alignment horizontal="left"/>
    </xf>
    <xf numFmtId="0" fontId="110" fillId="0" borderId="0"/>
    <xf numFmtId="0" fontId="9" fillId="0" borderId="0" applyNumberFormat="0" applyBorder="0" applyAlignment="0"/>
    <xf numFmtId="0" fontId="111" fillId="0" borderId="0" applyFill="0" applyBorder="0" applyProtection="0">
      <alignment horizontal="left" vertical="top"/>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173" fontId="33" fillId="0" borderId="0">
      <alignment horizontal="left" wrapText="1"/>
    </xf>
    <xf numFmtId="173" fontId="33" fillId="0" borderId="0">
      <alignment horizontal="left" wrapText="1"/>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0" fillId="0" borderId="0"/>
    <xf numFmtId="0" fontId="95" fillId="79" borderId="0"/>
    <xf numFmtId="166" fontId="113" fillId="67" borderId="0">
      <alignment horizontal="left" vertical="center"/>
    </xf>
    <xf numFmtId="166" fontId="114" fillId="0" borderId="0">
      <alignment horizontal="left" vertical="center"/>
    </xf>
    <xf numFmtId="166" fontId="114" fillId="0" borderId="0">
      <alignment horizontal="left" vertical="center"/>
    </xf>
    <xf numFmtId="0" fontId="14" fillId="67" borderId="0">
      <alignment horizontal="left" wrapText="1"/>
    </xf>
    <xf numFmtId="0" fontId="14" fillId="67" borderId="0">
      <alignment horizontal="left" wrapText="1"/>
    </xf>
    <xf numFmtId="0" fontId="14" fillId="67" borderId="0">
      <alignment horizontal="left" wrapText="1"/>
    </xf>
    <xf numFmtId="173" fontId="33" fillId="0" borderId="0">
      <alignment horizontal="left" wrapText="1"/>
    </xf>
    <xf numFmtId="0" fontId="115" fillId="0" borderId="0">
      <alignment horizontal="left" vertical="center"/>
    </xf>
    <xf numFmtId="0" fontId="115" fillId="0" borderId="0">
      <alignment horizontal="left" vertical="center"/>
    </xf>
    <xf numFmtId="0" fontId="53" fillId="0" borderId="42" applyNumberFormat="0" applyFon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29" fillId="0" borderId="14" applyNumberFormat="0" applyFill="0" applyAlignment="0" applyProtection="0"/>
    <xf numFmtId="0" fontId="29" fillId="0" borderId="44" applyNumberFormat="0" applyFill="0" applyAlignment="0" applyProtection="0"/>
    <xf numFmtId="173" fontId="33" fillId="0" borderId="0">
      <alignment horizontal="left" wrapText="1"/>
    </xf>
    <xf numFmtId="173" fontId="33" fillId="0" borderId="0">
      <alignment horizontal="left" wrapText="1"/>
    </xf>
    <xf numFmtId="0" fontId="29" fillId="0" borderId="44" applyNumberFormat="0" applyFill="0" applyAlignment="0" applyProtection="0"/>
    <xf numFmtId="0" fontId="29" fillId="0" borderId="14" applyNumberFormat="0" applyFill="0" applyAlignment="0" applyProtection="0"/>
    <xf numFmtId="0" fontId="29" fillId="0" borderId="44" applyNumberFormat="0" applyFill="0" applyAlignment="0" applyProtection="0"/>
    <xf numFmtId="173" fontId="33" fillId="0" borderId="0">
      <alignment horizontal="left" wrapText="1"/>
    </xf>
    <xf numFmtId="173" fontId="33" fillId="0" borderId="0">
      <alignment horizontal="left" wrapText="1"/>
    </xf>
    <xf numFmtId="41" fontId="14" fillId="67" borderId="0">
      <alignment horizontal="left"/>
    </xf>
    <xf numFmtId="173" fontId="33" fillId="0" borderId="0">
      <alignment horizontal="left" wrapText="1"/>
    </xf>
    <xf numFmtId="173" fontId="33" fillId="0" borderId="0">
      <alignment horizontal="left" wrapText="1"/>
    </xf>
    <xf numFmtId="41" fontId="14" fillId="67" borderId="0">
      <alignment horizontal="left"/>
    </xf>
    <xf numFmtId="0" fontId="29" fillId="0" borderId="44" applyNumberFormat="0" applyFill="0" applyAlignment="0" applyProtection="0"/>
    <xf numFmtId="0" fontId="29" fillId="0" borderId="14" applyNumberFormat="0" applyFill="0" applyAlignment="0" applyProtection="0"/>
    <xf numFmtId="0" fontId="51" fillId="0" borderId="45"/>
    <xf numFmtId="0" fontId="52" fillId="0" borderId="45"/>
    <xf numFmtId="0" fontId="52" fillId="0" borderId="45"/>
    <xf numFmtId="0" fontId="51" fillId="0" borderId="45"/>
    <xf numFmtId="0" fontId="52" fillId="0" borderId="45"/>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3" fontId="33" fillId="0" borderId="0">
      <alignment horizontal="left" wrapText="1"/>
    </xf>
    <xf numFmtId="0" fontId="27" fillId="0" borderId="0" applyNumberFormat="0" applyFill="0" applyBorder="0" applyAlignment="0" applyProtection="0"/>
    <xf numFmtId="0" fontId="82" fillId="0" borderId="0" applyNumberFormat="0" applyFill="0" applyBorder="0" applyAlignment="0" applyProtection="0"/>
    <xf numFmtId="0" fontId="14" fillId="67" borderId="38" applyNumberFormat="0">
      <alignment horizontal="center" vertical="center" wrapText="1"/>
    </xf>
    <xf numFmtId="0" fontId="9" fillId="0" borderId="0">
      <alignment readingOrder="1"/>
    </xf>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alignment readingOrder="1"/>
    </xf>
    <xf numFmtId="0" fontId="9" fillId="0" borderId="0">
      <alignment readingOrder="1"/>
    </xf>
    <xf numFmtId="43" fontId="9" fillId="0" borderId="0" applyFont="0" applyFill="0" applyBorder="0" applyAlignment="0" applyProtection="0"/>
    <xf numFmtId="3" fontId="31" fillId="0" borderId="0"/>
    <xf numFmtId="9" fontId="9" fillId="0" borderId="0" applyFont="0" applyFill="0" applyBorder="0" applyAlignment="0" applyProtection="0"/>
    <xf numFmtId="0" fontId="9" fillId="89" borderId="0" applyNumberFormat="0" applyFont="0" applyFill="0" applyBorder="0" applyAlignment="0" applyProtection="0"/>
    <xf numFmtId="165" fontId="48" fillId="76" borderId="0" applyFont="0" applyFill="0" applyBorder="0" applyAlignment="0" applyProtection="0">
      <alignment wrapText="1"/>
    </xf>
    <xf numFmtId="3" fontId="31" fillId="0" borderId="0"/>
    <xf numFmtId="0" fontId="9" fillId="0" borderId="0">
      <alignment readingOrder="1"/>
    </xf>
    <xf numFmtId="38" fontId="118" fillId="0" borderId="0" applyNumberFormat="0" applyFont="0" applyFill="0" applyBorder="0">
      <alignment horizontal="left" indent="4"/>
      <protection locked="0"/>
    </xf>
    <xf numFmtId="9" fontId="48"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17" fillId="0" borderId="0"/>
    <xf numFmtId="0" fontId="48" fillId="0" borderId="0"/>
    <xf numFmtId="0" fontId="6" fillId="0" borderId="0"/>
    <xf numFmtId="0" fontId="6" fillId="0" borderId="0"/>
    <xf numFmtId="44" fontId="6" fillId="0" borderId="0" applyFont="0" applyFill="0" applyBorder="0" applyAlignment="0" applyProtection="0"/>
    <xf numFmtId="44" fontId="48" fillId="0" borderId="0" applyFont="0" applyFill="0" applyBorder="0" applyAlignment="0" applyProtection="0"/>
    <xf numFmtId="43" fontId="48" fillId="0" borderId="0" applyFont="0" applyFill="0" applyBorder="0" applyAlignment="0" applyProtection="0"/>
    <xf numFmtId="41" fontId="9" fillId="0" borderId="0" applyFont="0" applyFill="0" applyBorder="0" applyAlignment="0" applyProtection="0"/>
    <xf numFmtId="0" fontId="116"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0" fontId="32" fillId="0" borderId="0"/>
    <xf numFmtId="0" fontId="120" fillId="77" borderId="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 fillId="0" borderId="0">
      <alignment readingOrder="1"/>
    </xf>
    <xf numFmtId="0" fontId="9" fillId="0" borderId="0">
      <alignment readingOrder="1"/>
    </xf>
    <xf numFmtId="0" fontId="9" fillId="0" borderId="0">
      <alignment readingOrder="1"/>
    </xf>
    <xf numFmtId="0" fontId="9" fillId="0" borderId="0">
      <alignment readingOrder="1"/>
    </xf>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3" fontId="31" fillId="0" borderId="0"/>
    <xf numFmtId="0" fontId="121" fillId="0" borderId="8" applyNumberFormat="0" applyFill="0" applyAlignment="0" applyProtection="0"/>
    <xf numFmtId="3" fontId="31" fillId="0" borderId="0"/>
    <xf numFmtId="3" fontId="31" fillId="0" borderId="0"/>
    <xf numFmtId="3" fontId="31" fillId="0" borderId="0"/>
    <xf numFmtId="9" fontId="31" fillId="0" borderId="0" applyFont="0" applyFill="0" applyBorder="0" applyAlignment="0" applyProtection="0"/>
    <xf numFmtId="44" fontId="31" fillId="0" borderId="0" applyFont="0" applyFill="0" applyBorder="0" applyAlignment="0" applyProtection="0"/>
    <xf numFmtId="0" fontId="122" fillId="0" borderId="0" applyNumberFormat="0" applyFill="0" applyBorder="0" applyAlignment="0" applyProtection="0">
      <alignment vertical="top"/>
      <protection locked="0"/>
    </xf>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123" fillId="0" borderId="0" applyBorder="0">
      <alignment horizontal="centerContinuous"/>
    </xf>
    <xf numFmtId="0" fontId="124" fillId="0" borderId="0" applyBorder="0">
      <alignment horizontal="centerContinuous"/>
    </xf>
    <xf numFmtId="0" fontId="125" fillId="67" borderId="0">
      <alignment horizontal="right"/>
    </xf>
    <xf numFmtId="0" fontId="124" fillId="67" borderId="46"/>
    <xf numFmtId="42" fontId="9" fillId="0" borderId="0" applyFont="0" applyFill="0" applyBorder="0" applyAlignment="0" applyProtection="0"/>
    <xf numFmtId="0" fontId="12" fillId="69" borderId="0">
      <alignment horizontal="left"/>
    </xf>
    <xf numFmtId="0" fontId="126" fillId="69" borderId="0">
      <alignment horizontal="right"/>
    </xf>
    <xf numFmtId="0" fontId="126" fillId="69" borderId="0">
      <alignment horizontal="center"/>
    </xf>
    <xf numFmtId="0" fontId="126" fillId="69" borderId="0">
      <alignment horizontal="right"/>
    </xf>
    <xf numFmtId="0" fontId="127" fillId="69" borderId="0">
      <alignment horizontal="left"/>
    </xf>
    <xf numFmtId="41"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2" fontId="3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2" fillId="69" borderId="0">
      <alignment horizontal="left"/>
    </xf>
    <xf numFmtId="0" fontId="12" fillId="69"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0" fontId="128" fillId="67" borderId="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12" fillId="69" borderId="0">
      <alignment horizontal="center"/>
    </xf>
    <xf numFmtId="49" fontId="100" fillId="69" borderId="0">
      <alignment horizontal="center"/>
    </xf>
    <xf numFmtId="0" fontId="126" fillId="69" borderId="0">
      <alignment horizontal="center"/>
    </xf>
    <xf numFmtId="0" fontId="126" fillId="69" borderId="0">
      <alignment horizontal="centerContinuous"/>
    </xf>
    <xf numFmtId="0" fontId="59" fillId="69" borderId="0">
      <alignment horizontal="left"/>
    </xf>
    <xf numFmtId="49" fontId="59" fillId="69" borderId="0">
      <alignment horizontal="center"/>
    </xf>
    <xf numFmtId="0" fontId="12" fillId="69" borderId="0">
      <alignment horizontal="left"/>
    </xf>
    <xf numFmtId="49" fontId="59" fillId="69" borderId="0">
      <alignment horizontal="left"/>
    </xf>
    <xf numFmtId="0" fontId="12" fillId="69" borderId="0">
      <alignment horizontal="centerContinuous"/>
    </xf>
    <xf numFmtId="0" fontId="12" fillId="69" borderId="0">
      <alignment horizontal="right"/>
    </xf>
    <xf numFmtId="49" fontId="12" fillId="69" borderId="0">
      <alignment horizontal="left"/>
    </xf>
    <xf numFmtId="0" fontId="126" fillId="69" borderId="0">
      <alignment horizontal="right"/>
    </xf>
    <xf numFmtId="0" fontId="59" fillId="102" borderId="0">
      <alignment horizontal="center"/>
    </xf>
    <xf numFmtId="0" fontId="62" fillId="102" borderId="0">
      <alignment horizontal="center"/>
    </xf>
    <xf numFmtId="0" fontId="129" fillId="69" borderId="0">
      <alignment horizontal="center"/>
    </xf>
    <xf numFmtId="0" fontId="9" fillId="0" borderId="0"/>
    <xf numFmtId="43" fontId="1" fillId="0" borderId="0" applyFont="0" applyFill="0" applyBorder="0" applyAlignment="0" applyProtection="0"/>
    <xf numFmtId="9" fontId="1" fillId="0" borderId="0" applyFont="0" applyFill="0" applyBorder="0" applyAlignment="0" applyProtection="0"/>
    <xf numFmtId="0" fontId="18" fillId="0" borderId="8" applyNumberFormat="0" applyFill="0" applyAlignment="0" applyProtection="0"/>
    <xf numFmtId="43" fontId="1" fillId="0" borderId="0" applyFont="0" applyFill="0" applyBorder="0" applyAlignment="0" applyProtection="0"/>
    <xf numFmtId="164" fontId="6" fillId="103" borderId="0" applyFont="0" applyFill="0" applyBorder="0" applyAlignment="0" applyProtection="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2" fillId="0" borderId="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1" fillId="0" borderId="0"/>
    <xf numFmtId="0" fontId="11"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8"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8"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8"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8"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8"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8"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8"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8" fillId="45"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6" borderId="0" applyNumberFormat="0" applyBorder="0" applyAlignment="0" applyProtection="0"/>
    <xf numFmtId="0" fontId="39" fillId="4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9" fillId="37" borderId="0" applyNumberFormat="0" applyBorder="0" applyAlignment="0" applyProtection="0"/>
    <xf numFmtId="0" fontId="30" fillId="21" borderId="0" applyNumberFormat="0" applyBorder="0" applyAlignment="0" applyProtection="0"/>
    <xf numFmtId="0" fontId="42" fillId="68" borderId="16" applyNumberFormat="0" applyAlignment="0" applyProtection="0"/>
    <xf numFmtId="0" fontId="30" fillId="21" borderId="0" applyNumberFormat="0" applyBorder="0" applyAlignment="0" applyProtection="0"/>
    <xf numFmtId="0" fontId="30" fillId="43" borderId="0" applyNumberFormat="0" applyBorder="0" applyAlignment="0" applyProtection="0"/>
    <xf numFmtId="0" fontId="39"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48" borderId="0" applyNumberFormat="0" applyBorder="0" applyAlignment="0" applyProtection="0"/>
    <xf numFmtId="0" fontId="39" fillId="4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9" fillId="4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50" borderId="0" applyNumberFormat="0" applyBorder="0" applyAlignment="0" applyProtection="0"/>
    <xf numFmtId="0" fontId="39" fillId="50" borderId="0" applyNumberFormat="0" applyBorder="0" applyAlignment="0" applyProtection="0"/>
    <xf numFmtId="0" fontId="30" fillId="10" borderId="0" applyNumberFormat="0" applyBorder="0" applyAlignment="0" applyProtection="0"/>
    <xf numFmtId="0" fontId="30" fillId="54" borderId="0" applyNumberFormat="0" applyBorder="0" applyAlignment="0" applyProtection="0"/>
    <xf numFmtId="0" fontId="30" fillId="14" borderId="0" applyNumberFormat="0" applyBorder="0" applyAlignment="0" applyProtection="0"/>
    <xf numFmtId="0" fontId="30" fillId="59" borderId="0" applyNumberFormat="0" applyBorder="0" applyAlignment="0" applyProtection="0"/>
    <xf numFmtId="0" fontId="30" fillId="18" borderId="0" applyNumberFormat="0" applyBorder="0" applyAlignment="0" applyProtection="0"/>
    <xf numFmtId="0" fontId="30" fillId="63" borderId="0" applyNumberFormat="0" applyBorder="0" applyAlignment="0" applyProtection="0"/>
    <xf numFmtId="0" fontId="30" fillId="22" borderId="0" applyNumberFormat="0" applyBorder="0" applyAlignment="0" applyProtection="0"/>
    <xf numFmtId="0" fontId="30" fillId="48"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0" fillId="30" borderId="0" applyNumberFormat="0" applyBorder="0" applyAlignment="0" applyProtection="0"/>
    <xf numFmtId="206" fontId="130" fillId="85" borderId="0" applyNumberFormat="0" applyBorder="0" applyAlignment="0" applyProtection="0"/>
    <xf numFmtId="206" fontId="79" fillId="104" borderId="0" applyNumberFormat="0" applyBorder="0" applyAlignment="0" applyProtection="0"/>
    <xf numFmtId="206" fontId="79" fillId="10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31" fillId="4" borderId="0" applyNumberFormat="0" applyBorder="0" applyAlignment="0" applyProtection="0"/>
    <xf numFmtId="0" fontId="40" fillId="36" borderId="0" applyNumberFormat="0" applyBorder="0" applyAlignment="0" applyProtection="0"/>
    <xf numFmtId="0" fontId="6" fillId="0" borderId="0" applyFill="0" applyBorder="0" applyAlignment="0" applyProtection="0"/>
    <xf numFmtId="0" fontId="24" fillId="7" borderId="9" applyNumberFormat="0" applyAlignment="0" applyProtection="0"/>
    <xf numFmtId="0" fontId="24" fillId="68" borderId="9" applyNumberFormat="0" applyAlignment="0" applyProtection="0"/>
    <xf numFmtId="0" fontId="42" fillId="68" borderId="16" applyNumberFormat="0" applyAlignment="0" applyProtection="0"/>
    <xf numFmtId="0" fontId="76" fillId="0" borderId="0" applyFill="0" applyBorder="0" applyProtection="0">
      <alignment horizontal="center" vertical="center"/>
    </xf>
    <xf numFmtId="0" fontId="132" fillId="0" borderId="0" applyFill="0" applyBorder="0" applyProtection="0">
      <alignment horizontal="center"/>
      <protection locked="0"/>
    </xf>
    <xf numFmtId="0" fontId="76" fillId="0" borderId="0" applyFill="0" applyBorder="0" applyProtection="0">
      <alignment horizontal="center" vertical="center"/>
    </xf>
    <xf numFmtId="0" fontId="26" fillId="8" borderId="12" applyNumberFormat="0" applyAlignment="0" applyProtection="0"/>
    <xf numFmtId="0" fontId="26" fillId="8" borderId="12" applyNumberFormat="0" applyAlignment="0" applyProtection="0"/>
    <xf numFmtId="0" fontId="44" fillId="70" borderId="17" applyNumberFormat="0" applyAlignment="0" applyProtection="0"/>
    <xf numFmtId="0" fontId="133" fillId="0" borderId="47">
      <alignment horizontal="center"/>
    </xf>
    <xf numFmtId="207" fontId="134" fillId="0" borderId="0" applyFont="0" applyFill="0" applyBorder="0" applyAlignment="0" applyProtection="0">
      <alignment horizontal="right"/>
    </xf>
    <xf numFmtId="208" fontId="135" fillId="0" borderId="0" applyFont="0" applyFill="0" applyBorder="0" applyAlignment="0" applyProtection="0"/>
    <xf numFmtId="209" fontId="136" fillId="0" borderId="0" applyFont="0" applyFill="0" applyBorder="0" applyAlignment="0" applyProtection="0"/>
    <xf numFmtId="210" fontId="1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38"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9"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alignment vertical="top"/>
    </xf>
    <xf numFmtId="43" fontId="11" fillId="0" borderId="0" applyFont="0" applyFill="0" applyBorder="0" applyAlignment="0" applyProtection="0">
      <alignment vertical="top"/>
    </xf>
    <xf numFmtId="43" fontId="11" fillId="0" borderId="0" applyFont="0" applyFill="0" applyBorder="0" applyAlignment="0" applyProtection="0">
      <alignment vertical="top"/>
    </xf>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11" fontId="1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1" fontId="140"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211"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12" fontId="135" fillId="0" borderId="0">
      <protection locked="0"/>
    </xf>
    <xf numFmtId="0" fontId="141" fillId="0" borderId="0" applyFill="0" applyBorder="0" applyAlignment="0" applyProtection="0"/>
    <xf numFmtId="0" fontId="142" fillId="0" borderId="0" applyFill="0" applyBorder="0" applyAlignment="0" applyProtection="0">
      <protection locked="0"/>
    </xf>
    <xf numFmtId="0" fontId="141" fillId="0" borderId="0" applyFill="0" applyBorder="0" applyAlignment="0" applyProtection="0"/>
    <xf numFmtId="213" fontId="136" fillId="0" borderId="0" applyFont="0" applyFill="0" applyBorder="0" applyAlignment="0" applyProtection="0"/>
    <xf numFmtId="214" fontId="136" fillId="0" borderId="0" applyFont="0" applyFill="0" applyBorder="0" applyAlignment="0" applyProtection="0"/>
    <xf numFmtId="215" fontId="13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38"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16" fontId="135" fillId="0" borderId="0">
      <protection locked="0"/>
    </xf>
    <xf numFmtId="185" fontId="143" fillId="0" borderId="0" applyFont="0" applyFill="0" applyBorder="0" applyAlignment="0" applyProtection="0"/>
    <xf numFmtId="206" fontId="144" fillId="0"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3" fillId="0" borderId="0" applyNumberFormat="0" applyFill="0" applyBorder="0" applyAlignment="0" applyProtection="0"/>
    <xf numFmtId="217" fontId="145" fillId="0" borderId="0"/>
    <xf numFmtId="218" fontId="145" fillId="0" borderId="0"/>
    <xf numFmtId="165" fontId="145" fillId="0" borderId="0"/>
    <xf numFmtId="218" fontId="145" fillId="0" borderId="0"/>
    <xf numFmtId="219" fontId="145" fillId="0" borderId="0"/>
    <xf numFmtId="219" fontId="145" fillId="0" borderId="0"/>
    <xf numFmtId="217" fontId="145" fillId="0" borderId="0"/>
    <xf numFmtId="188" fontId="145" fillId="0" borderId="0"/>
    <xf numFmtId="220" fontId="145" fillId="0" borderId="0"/>
    <xf numFmtId="221" fontId="145" fillId="0" borderId="0"/>
    <xf numFmtId="222" fontId="145" fillId="0" borderId="0"/>
    <xf numFmtId="0" fontId="19" fillId="3" borderId="0" applyNumberFormat="0" applyBorder="0" applyAlignment="0" applyProtection="0"/>
    <xf numFmtId="0" fontId="19" fillId="3" borderId="0" applyNumberFormat="0" applyBorder="0" applyAlignment="0" applyProtection="0"/>
    <xf numFmtId="0" fontId="64" fillId="38" borderId="0" applyNumberFormat="0" applyBorder="0" applyAlignment="0" applyProtection="0"/>
    <xf numFmtId="0" fontId="16" fillId="0" borderId="6" applyNumberFormat="0" applyFill="0" applyAlignment="0" applyProtection="0"/>
    <xf numFmtId="0" fontId="146" fillId="0" borderId="21" applyNumberFormat="0" applyFill="0" applyAlignment="0" applyProtection="0"/>
    <xf numFmtId="0" fontId="69" fillId="0" borderId="21" applyNumberFormat="0" applyFill="0" applyAlignment="0" applyProtection="0"/>
    <xf numFmtId="0" fontId="17" fillId="0" borderId="7" applyNumberFormat="0" applyFill="0" applyAlignment="0" applyProtection="0"/>
    <xf numFmtId="0" fontId="147" fillId="0" borderId="7" applyNumberFormat="0" applyFill="0" applyAlignment="0" applyProtection="0"/>
    <xf numFmtId="0" fontId="72" fillId="0" borderId="23"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48" fillId="0" borderId="25" applyNumberFormat="0" applyFill="0" applyAlignment="0" applyProtection="0"/>
    <xf numFmtId="0" fontId="74" fillId="0" borderId="2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8" fillId="0" borderId="0" applyNumberFormat="0" applyFill="0" applyBorder="0" applyAlignment="0" applyProtection="0"/>
    <xf numFmtId="0" fontId="74" fillId="0" borderId="0" applyNumberFormat="0" applyFill="0" applyBorder="0" applyAlignment="0" applyProtection="0"/>
    <xf numFmtId="0" fontId="14" fillId="0" borderId="0" applyFill="0" applyAlignment="0" applyProtection="0"/>
    <xf numFmtId="0" fontId="132" fillId="0" borderId="0" applyFill="0" applyAlignment="0" applyProtection="0">
      <protection locked="0"/>
    </xf>
    <xf numFmtId="0" fontId="14" fillId="0" borderId="0" applyFill="0" applyAlignment="0" applyProtection="0"/>
    <xf numFmtId="0" fontId="14" fillId="0" borderId="38" applyFill="0" applyAlignment="0" applyProtection="0"/>
    <xf numFmtId="0" fontId="132" fillId="0" borderId="38" applyFill="0" applyAlignment="0" applyProtection="0">
      <protection locked="0"/>
    </xf>
    <xf numFmtId="0" fontId="14" fillId="0" borderId="38" applyFill="0" applyAlignment="0" applyProtection="0"/>
    <xf numFmtId="0" fontId="132" fillId="0" borderId="0" applyFill="0" applyAlignment="0" applyProtection="0"/>
    <xf numFmtId="206" fontId="149" fillId="67" borderId="0" applyNumberFormat="0" applyBorder="0" applyAlignment="0" applyProtection="0"/>
    <xf numFmtId="0" fontId="22" fillId="6" borderId="9" applyNumberFormat="0" applyAlignment="0" applyProtection="0"/>
    <xf numFmtId="206" fontId="79" fillId="76" borderId="0" applyNumberFormat="0" applyBorder="0" applyAlignment="0" applyProtection="0"/>
    <xf numFmtId="206" fontId="79" fillId="76" borderId="0" applyNumberFormat="0" applyBorder="0" applyAlignment="0" applyProtection="0"/>
    <xf numFmtId="0" fontId="25" fillId="0" borderId="11" applyNumberFormat="0" applyFill="0" applyAlignment="0" applyProtection="0"/>
    <xf numFmtId="0" fontId="25" fillId="0" borderId="11" applyNumberFormat="0" applyFill="0" applyAlignment="0" applyProtection="0"/>
    <xf numFmtId="0" fontId="81" fillId="0" borderId="30"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83" fillId="44" borderId="0" applyNumberFormat="0" applyBorder="0" applyAlignment="0" applyProtection="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206" fontId="31" fillId="0" borderId="0"/>
    <xf numFmtId="206" fontId="31" fillId="0" borderId="0"/>
    <xf numFmtId="206" fontId="31" fillId="0" borderId="0"/>
    <xf numFmtId="206" fontId="3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206" fontId="31" fillId="0" borderId="0"/>
    <xf numFmtId="206" fontId="31" fillId="0" borderId="0"/>
    <xf numFmtId="206" fontId="31" fillId="0" borderId="0"/>
    <xf numFmtId="206" fontId="3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205" fontId="31" fillId="0" borderId="0"/>
    <xf numFmtId="205" fontId="31" fillId="0" borderId="0"/>
    <xf numFmtId="205" fontId="31" fillId="0" borderId="0"/>
    <xf numFmtId="205" fontId="3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37" fillId="0" borderId="0"/>
    <xf numFmtId="206" fontId="9" fillId="0" borderId="0"/>
    <xf numFmtId="0" fontId="137"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0" fontId="9" fillId="0" borderId="0"/>
    <xf numFmtId="0" fontId="1" fillId="0" borderId="0"/>
    <xf numFmtId="0" fontId="1" fillId="0" borderId="0"/>
    <xf numFmtId="206" fontId="9"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9" fillId="0" borderId="0"/>
    <xf numFmtId="0" fontId="9" fillId="0" borderId="0"/>
    <xf numFmtId="0" fontId="6" fillId="0" borderId="0"/>
    <xf numFmtId="0" fontId="9"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9" fillId="0" borderId="0"/>
    <xf numFmtId="0" fontId="11" fillId="0" borderId="0">
      <alignment vertical="top"/>
    </xf>
    <xf numFmtId="0" fontId="9" fillId="0" borderId="0"/>
    <xf numFmtId="0" fontId="9" fillId="0" borderId="0"/>
    <xf numFmtId="206" fontId="9" fillId="0" borderId="0"/>
    <xf numFmtId="0" fontId="1" fillId="0" borderId="0"/>
    <xf numFmtId="0" fontId="1" fillId="0" borderId="0"/>
    <xf numFmtId="0" fontId="1" fillId="0" borderId="0"/>
    <xf numFmtId="206"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11"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11" fillId="0" borderId="0">
      <alignment vertical="top"/>
    </xf>
    <xf numFmtId="0" fontId="11"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6" fillId="0" borderId="0"/>
    <xf numFmtId="0" fontId="9" fillId="0" borderId="0"/>
    <xf numFmtId="0" fontId="6" fillId="0" borderId="0"/>
    <xf numFmtId="206" fontId="31" fillId="0" borderId="0"/>
    <xf numFmtId="206" fontId="31" fillId="0" borderId="0"/>
    <xf numFmtId="206" fontId="31" fillId="0" borderId="0"/>
    <xf numFmtId="206" fontId="3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205" fontId="31" fillId="0" borderId="0"/>
    <xf numFmtId="205" fontId="31" fillId="0" borderId="0"/>
    <xf numFmtId="205" fontId="31" fillId="0" borderId="0"/>
    <xf numFmtId="205"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205" fontId="9" fillId="0" borderId="0"/>
    <xf numFmtId="0" fontId="11" fillId="0" borderId="0">
      <alignment vertical="top"/>
    </xf>
    <xf numFmtId="0" fontId="11" fillId="0" borderId="0">
      <alignment vertical="top"/>
    </xf>
    <xf numFmtId="0" fontId="31" fillId="0" borderId="0"/>
    <xf numFmtId="0" fontId="1" fillId="0" borderId="0"/>
    <xf numFmtId="0" fontId="31" fillId="0" borderId="0"/>
    <xf numFmtId="0" fontId="31" fillId="0" borderId="0"/>
    <xf numFmtId="0" fontId="31" fillId="0" borderId="0"/>
    <xf numFmtId="206" fontId="31" fillId="0" borderId="0"/>
    <xf numFmtId="206" fontId="31" fillId="0" borderId="0"/>
    <xf numFmtId="0" fontId="11" fillId="0" borderId="0">
      <alignment vertical="top"/>
    </xf>
    <xf numFmtId="206" fontId="31" fillId="0" borderId="0"/>
    <xf numFmtId="206" fontId="31" fillId="0" borderId="0"/>
    <xf numFmtId="0" fontId="31" fillId="0" borderId="0"/>
    <xf numFmtId="0" fontId="11" fillId="0" borderId="0">
      <alignment vertical="top"/>
    </xf>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6"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206"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9" fillId="39" borderId="34" applyNumberFormat="0" applyFont="0" applyAlignment="0" applyProtection="0"/>
    <xf numFmtId="0" fontId="1" fillId="9" borderId="13" applyNumberFormat="0" applyFont="0" applyAlignment="0" applyProtection="0"/>
    <xf numFmtId="0" fontId="23" fillId="7" borderId="10" applyNumberFormat="0" applyAlignment="0" applyProtection="0"/>
    <xf numFmtId="0" fontId="23" fillId="7" borderId="10" applyNumberFormat="0" applyAlignment="0" applyProtection="0"/>
    <xf numFmtId="0" fontId="23" fillId="68" borderId="10" applyNumberFormat="0" applyAlignment="0" applyProtection="0"/>
    <xf numFmtId="0" fontId="90" fillId="68" borderId="35" applyNumberFormat="0" applyAlignment="0" applyProtection="0"/>
    <xf numFmtId="206" fontId="9" fillId="103" borderId="0" applyNumberFormat="0" applyBorder="0" applyAlignment="0" applyProtection="0"/>
    <xf numFmtId="206" fontId="9" fillId="103" borderId="0" applyNumberFormat="0" applyBorder="0" applyAlignment="0" applyProtection="0"/>
    <xf numFmtId="223" fontId="136" fillId="0" borderId="0" applyFont="0" applyFill="0" applyBorder="0" applyAlignment="0" applyProtection="0"/>
    <xf numFmtId="224" fontId="135" fillId="0" borderId="0" applyFont="0" applyFill="0" applyBorder="0" applyAlignment="0" applyProtection="0"/>
    <xf numFmtId="225" fontId="136" fillId="0" borderId="0" applyFont="0" applyFill="0" applyBorder="0" applyAlignment="0" applyProtection="0"/>
    <xf numFmtId="226" fontId="135" fillId="0" borderId="0" applyFont="0" applyFill="0" applyBorder="0" applyAlignment="0" applyProtection="0"/>
    <xf numFmtId="227" fontId="136" fillId="0" borderId="0" applyFont="0" applyFill="0" applyBorder="0" applyAlignment="0" applyProtection="0"/>
    <xf numFmtId="228" fontId="135" fillId="0" borderId="0" applyFont="0" applyFill="0" applyBorder="0" applyAlignment="0" applyProtection="0"/>
    <xf numFmtId="229" fontId="136" fillId="0" borderId="0" applyFont="0" applyFill="0" applyBorder="0" applyAlignment="0" applyProtection="0"/>
    <xf numFmtId="230" fontId="135" fillId="0" borderId="0" applyFont="0" applyFill="0" applyBorder="0" applyAlignment="0" applyProtection="0"/>
    <xf numFmtId="231" fontId="135" fillId="0" borderId="0" applyFont="0" applyFill="0" applyBorder="0" applyAlignment="0" applyProtection="0"/>
    <xf numFmtId="232" fontId="1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7" fillId="0" borderId="0" applyFont="0" applyFill="0" applyBorder="0" applyAlignment="0" applyProtection="0"/>
    <xf numFmtId="9" fontId="11" fillId="0" borderId="0" applyFont="0" applyFill="0" applyBorder="0" applyAlignment="0" applyProtection="0"/>
    <xf numFmtId="9" fontId="137" fillId="0" borderId="0" applyFont="0" applyFill="0" applyBorder="0" applyAlignment="0" applyProtection="0"/>
    <xf numFmtId="9" fontId="11"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8"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06" fontId="130" fillId="85" borderId="0" applyNumberFormat="0" applyBorder="0" applyAlignment="0" applyProtection="0"/>
    <xf numFmtId="0" fontId="150" fillId="0" borderId="0">
      <alignment horizontal="right"/>
    </xf>
    <xf numFmtId="0" fontId="151" fillId="0" borderId="0">
      <alignment horizontal="right"/>
    </xf>
    <xf numFmtId="0" fontId="145" fillId="0" borderId="0"/>
    <xf numFmtId="0" fontId="152" fillId="0" borderId="0" applyNumberFormat="0" applyBorder="0" applyAlignment="0"/>
    <xf numFmtId="0" fontId="152" fillId="0" borderId="0" applyNumberFormat="0" applyBorder="0" applyAlignment="0"/>
    <xf numFmtId="0" fontId="11" fillId="0" borderId="0" applyNumberFormat="0" applyBorder="0" applyAlignment="0"/>
    <xf numFmtId="206" fontId="11" fillId="0" borderId="0" applyNumberFormat="0" applyBorder="0" applyAlignment="0"/>
    <xf numFmtId="0" fontId="145" fillId="0" borderId="0"/>
    <xf numFmtId="206" fontId="11" fillId="0" borderId="0" applyNumberFormat="0" applyBorder="0" applyAlignment="0"/>
    <xf numFmtId="0" fontId="153" fillId="0" borderId="0"/>
    <xf numFmtId="0" fontId="154" fillId="0" borderId="0" applyNumberFormat="0" applyBorder="0" applyAlignment="0"/>
    <xf numFmtId="0" fontId="154" fillId="0" borderId="0" applyNumberFormat="0" applyBorder="0" applyAlignment="0"/>
    <xf numFmtId="0" fontId="153" fillId="0" borderId="0"/>
    <xf numFmtId="0" fontId="155" fillId="0" borderId="0"/>
    <xf numFmtId="206" fontId="156" fillId="0" borderId="0"/>
    <xf numFmtId="0" fontId="157" fillId="0" borderId="0"/>
    <xf numFmtId="0" fontId="158" fillId="0" borderId="0" applyNumberFormat="0" applyBorder="0" applyAlignment="0"/>
    <xf numFmtId="0" fontId="158" fillId="0" borderId="0" applyNumberFormat="0" applyBorder="0" applyAlignment="0"/>
    <xf numFmtId="0" fontId="157" fillId="0" borderId="0"/>
    <xf numFmtId="0" fontId="159" fillId="0" borderId="0" applyNumberFormat="0" applyBorder="0" applyAlignment="0"/>
    <xf numFmtId="0" fontId="160" fillId="0" borderId="0"/>
    <xf numFmtId="206" fontId="161" fillId="0" borderId="0"/>
    <xf numFmtId="0" fontId="162" fillId="0" borderId="0"/>
    <xf numFmtId="0" fontId="158" fillId="105" borderId="0" applyNumberFormat="0" applyBorder="0" applyAlignment="0"/>
    <xf numFmtId="0" fontId="163" fillId="0" borderId="0"/>
    <xf numFmtId="0" fontId="164" fillId="0" borderId="0"/>
    <xf numFmtId="0" fontId="165" fillId="0" borderId="0"/>
    <xf numFmtId="0" fontId="164" fillId="79" borderId="0"/>
    <xf numFmtId="0" fontId="15" fillId="0" borderId="0" applyNumberFormat="0" applyFill="0" applyBorder="0" applyAlignment="0" applyProtection="0"/>
    <xf numFmtId="0" fontId="166" fillId="71" borderId="48" applyNumberFormat="0">
      <alignment horizontal="left"/>
    </xf>
    <xf numFmtId="0" fontId="15" fillId="0" borderId="0" applyNumberFormat="0" applyFill="0" applyBorder="0" applyAlignment="0" applyProtection="0"/>
    <xf numFmtId="0" fontId="167" fillId="0" borderId="0" applyNumberFormat="0" applyFill="0" applyBorder="0" applyAlignment="0" applyProtection="0"/>
    <xf numFmtId="0" fontId="112" fillId="0" borderId="0" applyNumberFormat="0" applyFill="0" applyBorder="0" applyAlignment="0" applyProtection="0"/>
    <xf numFmtId="0" fontId="166" fillId="71" borderId="49">
      <alignment horizontal="left"/>
    </xf>
    <xf numFmtId="3" fontId="31" fillId="0" borderId="0"/>
    <xf numFmtId="0" fontId="29" fillId="0" borderId="14" applyNumberFormat="0" applyFill="0" applyAlignment="0" applyProtection="0"/>
    <xf numFmtId="0" fontId="29" fillId="0" borderId="43" applyNumberFormat="0" applyFill="0" applyAlignment="0" applyProtection="0"/>
    <xf numFmtId="0" fontId="61" fillId="0" borderId="43" applyNumberFormat="0" applyFill="0" applyAlignment="0" applyProtection="0"/>
    <xf numFmtId="0" fontId="27" fillId="0" borderId="0" applyNumberFormat="0" applyFill="0" applyBorder="0" applyAlignment="0" applyProtection="0"/>
    <xf numFmtId="0" fontId="31" fillId="0" borderId="0"/>
    <xf numFmtId="0" fontId="27" fillId="0" borderId="0" applyNumberFormat="0" applyFill="0" applyBorder="0" applyAlignment="0" applyProtection="0"/>
    <xf numFmtId="0" fontId="82" fillId="0" borderId="0" applyNumberFormat="0" applyFill="0" applyBorder="0" applyAlignment="0" applyProtection="0"/>
    <xf numFmtId="206" fontId="14" fillId="86" borderId="0" applyNumberFormat="0" applyBorder="0" applyAlignment="0" applyProtection="0"/>
    <xf numFmtId="233" fontId="135" fillId="0" borderId="0" applyFont="0" applyFill="0" applyBorder="0" applyAlignment="0" applyProtection="0"/>
    <xf numFmtId="234" fontId="135" fillId="0" borderId="0" applyFont="0" applyFill="0" applyBorder="0" applyAlignment="0" applyProtection="0"/>
    <xf numFmtId="235" fontId="135" fillId="0" borderId="0" applyFont="0" applyFill="0" applyBorder="0" applyAlignment="0" applyProtection="0"/>
    <xf numFmtId="236" fontId="135" fillId="0" borderId="0" applyFont="0" applyFill="0" applyBorder="0" applyAlignment="0" applyProtection="0"/>
    <xf numFmtId="237" fontId="135" fillId="0" borderId="0" applyFont="0" applyFill="0" applyBorder="0" applyAlignment="0" applyProtection="0"/>
    <xf numFmtId="238" fontId="135" fillId="0" borderId="0" applyFont="0" applyFill="0" applyBorder="0" applyAlignment="0" applyProtection="0"/>
    <xf numFmtId="239" fontId="135" fillId="0" borderId="0" applyFont="0" applyFill="0" applyBorder="0" applyAlignment="0" applyProtection="0"/>
    <xf numFmtId="240" fontId="135" fillId="0" borderId="0" applyFont="0" applyFill="0" applyBorder="0" applyAlignment="0" applyProtection="0"/>
    <xf numFmtId="241" fontId="6" fillId="0" borderId="0" applyFont="0" applyFill="0" applyBorder="0" applyAlignment="0" applyProtection="0">
      <alignment horizontal="right"/>
    </xf>
    <xf numFmtId="3" fontId="31" fillId="0" borderId="0"/>
    <xf numFmtId="0" fontId="121" fillId="0" borderId="8" applyNumberFormat="0" applyFill="0" applyAlignment="0" applyProtection="0"/>
    <xf numFmtId="3" fontId="31" fillId="0" borderId="0"/>
    <xf numFmtId="3" fontId="31" fillId="0" borderId="0"/>
    <xf numFmtId="3" fontId="31" fillId="0" borderId="0"/>
    <xf numFmtId="3" fontId="31" fillId="0" borderId="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121" fillId="0" borderId="8" applyNumberFormat="0" applyFill="0" applyAlignment="0" applyProtection="0"/>
    <xf numFmtId="0" fontId="3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90" fillId="68" borderId="35" applyNumberFormat="0" applyAlignment="0" applyProtection="0"/>
    <xf numFmtId="0" fontId="42" fillId="68" borderId="16" applyNumberFormat="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42" fillId="68" borderId="16" applyNumberFormat="0" applyAlignment="0" applyProtection="0"/>
    <xf numFmtId="43" fontId="31" fillId="0" borderId="0" applyFont="0" applyFill="0" applyBorder="0" applyAlignment="0" applyProtection="0"/>
    <xf numFmtId="0" fontId="9" fillId="39" borderId="34" applyNumberFormat="0" applyFont="0" applyAlignment="0" applyProtection="0"/>
    <xf numFmtId="9" fontId="31" fillId="0" borderId="0" applyFont="0" applyFill="0" applyBorder="0" applyAlignment="0" applyProtection="0"/>
    <xf numFmtId="0" fontId="61" fillId="0" borderId="43" applyNumberFormat="0" applyFill="0" applyAlignment="0" applyProtection="0"/>
    <xf numFmtId="43"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0" fontId="61" fillId="0" borderId="43"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0" fontId="42" fillId="68" borderId="16" applyNumberFormat="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44" fontId="31" fillId="0" borderId="0" applyFont="0" applyFill="0" applyBorder="0" applyAlignment="0" applyProtection="0"/>
    <xf numFmtId="0" fontId="29"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0" fontId="61" fillId="0" borderId="43" applyNumberFormat="0" applyFill="0" applyAlignment="0" applyProtection="0"/>
    <xf numFmtId="9"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0" fontId="42" fillId="68" borderId="16" applyNumberFormat="0" applyAlignment="0" applyProtection="0"/>
    <xf numFmtId="9" fontId="31" fillId="0" borderId="0" applyFont="0" applyFill="0" applyBorder="0" applyAlignment="0" applyProtection="0"/>
    <xf numFmtId="0" fontId="90" fillId="68" borderId="35" applyNumberFormat="0" applyAlignment="0" applyProtection="0"/>
    <xf numFmtId="0" fontId="29"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29" fillId="0" borderId="43" applyNumberFormat="0" applyFill="0" applyAlignment="0" applyProtection="0"/>
    <xf numFmtId="0" fontId="61"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8" fillId="41" borderId="16" applyNumberFormat="0" applyAlignment="0" applyProtection="0"/>
    <xf numFmtId="0" fontId="1"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1"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68" borderId="16"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0" fontId="42"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9"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43" applyNumberFormat="0" applyFill="0" applyAlignment="0" applyProtection="0"/>
    <xf numFmtId="0" fontId="90" fillId="68" borderId="35" applyNumberFormat="0" applyAlignment="0" applyProtection="0"/>
    <xf numFmtId="0" fontId="90" fillId="68" borderId="35" applyNumberFormat="0" applyAlignment="0" applyProtection="0"/>
    <xf numFmtId="0" fontId="61" fillId="0" borderId="43" applyNumberFormat="0" applyFill="0" applyAlignment="0" applyProtection="0"/>
    <xf numFmtId="0" fontId="29" fillId="0" borderId="43" applyNumberFormat="0" applyFill="0" applyAlignment="0" applyProtection="0"/>
    <xf numFmtId="0" fontId="90" fillId="68" borderId="35" applyNumberFormat="0" applyAlignment="0" applyProtection="0"/>
    <xf numFmtId="0" fontId="78" fillId="41" borderId="16" applyNumberFormat="0" applyAlignment="0" applyProtection="0"/>
    <xf numFmtId="0" fontId="78" fillId="41" borderId="16" applyNumberFormat="0" applyAlignment="0" applyProtection="0"/>
    <xf numFmtId="0" fontId="42" fillId="68" borderId="16" applyNumberFormat="0" applyAlignment="0" applyProtection="0"/>
    <xf numFmtId="0" fontId="90" fillId="68" borderId="35" applyNumberFormat="0" applyAlignment="0" applyProtection="0"/>
    <xf numFmtId="0" fontId="78" fillId="41" borderId="16" applyNumberFormat="0" applyAlignment="0" applyProtection="0"/>
    <xf numFmtId="0" fontId="42" fillId="68" borderId="16" applyNumberFormat="0" applyAlignment="0" applyProtection="0"/>
    <xf numFmtId="0" fontId="1" fillId="0" borderId="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39" fontId="49" fillId="0" borderId="0"/>
    <xf numFmtId="40" fontId="47" fillId="0" borderId="0" applyFont="0" applyFill="0" applyBorder="0" applyAlignment="0" applyProtection="0"/>
    <xf numFmtId="8" fontId="47" fillId="0" borderId="0" applyFont="0" applyFill="0" applyBorder="0" applyAlignment="0" applyProtection="0"/>
    <xf numFmtId="9" fontId="47" fillId="0" borderId="0" applyFont="0" applyFill="0" applyBorder="0" applyAlignment="0" applyProtection="0"/>
    <xf numFmtId="0" fontId="168" fillId="0" borderId="0"/>
    <xf numFmtId="44" fontId="168" fillId="0" borderId="0" applyFont="0" applyFill="0" applyBorder="0" applyAlignment="0" applyProtection="0"/>
    <xf numFmtId="43" fontId="168" fillId="0" borderId="0" applyFont="0" applyFill="0" applyBorder="0" applyAlignment="0" applyProtection="0"/>
    <xf numFmtId="43" fontId="1" fillId="0" borderId="0" applyFont="0" applyFill="0" applyBorder="0" applyAlignment="0" applyProtection="0"/>
    <xf numFmtId="3" fontId="65"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4" fontId="65" fillId="0" borderId="0" applyFont="0" applyFill="0" applyBorder="0" applyAlignment="0" applyProtection="0"/>
    <xf numFmtId="0" fontId="65" fillId="0" borderId="0" applyFont="0" applyFill="0" applyBorder="0" applyAlignment="0" applyProtection="0"/>
    <xf numFmtId="2" fontId="65" fillId="0" borderId="0" applyFont="0" applyFill="0" applyBorder="0" applyAlignment="0" applyProtection="0"/>
    <xf numFmtId="0" fontId="65" fillId="0" borderId="0"/>
    <xf numFmtId="0" fontId="31" fillId="0" borderId="0"/>
    <xf numFmtId="0" fontId="1" fillId="0" borderId="0"/>
    <xf numFmtId="10" fontId="65"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xf numFmtId="0" fontId="47"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43"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0" fontId="31" fillId="0" borderId="0"/>
    <xf numFmtId="9" fontId="31"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0" fontId="1" fillId="0" borderId="0"/>
    <xf numFmtId="43" fontId="1" fillId="0" borderId="0" applyFont="0" applyFill="0" applyBorder="0" applyAlignment="0" applyProtection="0"/>
    <xf numFmtId="44" fontId="168" fillId="0" borderId="0" applyFont="0" applyFill="0" applyBorder="0" applyAlignment="0" applyProtection="0"/>
    <xf numFmtId="9" fontId="168"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8" fillId="41" borderId="16" applyNumberFormat="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0" fillId="68" borderId="35" applyNumberFormat="0" applyAlignment="0" applyProtection="0"/>
    <xf numFmtId="0" fontId="42" fillId="68" borderId="16" applyNumberFormat="0" applyAlignment="0" applyProtection="0"/>
    <xf numFmtId="0" fontId="42" fillId="68" borderId="16" applyNumberFormat="0" applyAlignment="0" applyProtection="0"/>
    <xf numFmtId="0" fontId="9" fillId="39" borderId="34" applyNumberFormat="0" applyFon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42" fillId="68" borderId="16" applyNumberFormat="0" applyAlignment="0" applyProtection="0"/>
    <xf numFmtId="0" fontId="90" fillId="68" borderId="35" applyNumberFormat="0" applyAlignment="0" applyProtection="0"/>
    <xf numFmtId="0" fontId="29" fillId="0" borderId="43" applyNumberFormat="0" applyFill="0" applyAlignment="0" applyProtection="0"/>
    <xf numFmtId="0" fontId="29" fillId="0" borderId="43" applyNumberFormat="0" applyFill="0" applyAlignment="0" applyProtection="0"/>
    <xf numFmtId="0" fontId="61" fillId="0" borderId="43" applyNumberFormat="0" applyFill="0" applyAlignment="0" applyProtection="0"/>
    <xf numFmtId="0" fontId="78" fillId="41" borderId="16" applyNumberFormat="0" applyAlignment="0" applyProtection="0"/>
    <xf numFmtId="0" fontId="29"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61" fillId="0" borderId="43" applyNumberFormat="0" applyFill="0" applyAlignment="0" applyProtection="0"/>
    <xf numFmtId="0" fontId="42" fillId="68" borderId="16"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 fillId="39" borderId="34" applyNumberFormat="0" applyFont="0" applyAlignment="0" applyProtection="0"/>
    <xf numFmtId="0" fontId="9" fillId="39" borderId="34" applyNumberFormat="0" applyFont="0" applyAlignment="0" applyProtection="0"/>
    <xf numFmtId="0" fontId="42" fillId="68" borderId="16"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0" fillId="68" borderId="35" applyNumberFormat="0" applyAlignment="0" applyProtection="0"/>
    <xf numFmtId="0" fontId="90" fillId="68" borderId="35" applyNumberFormat="0" applyAlignment="0" applyProtection="0"/>
    <xf numFmtId="0" fontId="61" fillId="0" borderId="43" applyNumberFormat="0" applyFill="0" applyAlignment="0" applyProtection="0"/>
    <xf numFmtId="0" fontId="29" fillId="0" borderId="43" applyNumberFormat="0" applyFill="0" applyAlignment="0" applyProtection="0"/>
    <xf numFmtId="0" fontId="90" fillId="68" borderId="35" applyNumberFormat="0" applyAlignment="0" applyProtection="0"/>
    <xf numFmtId="0" fontId="78" fillId="41" borderId="16" applyNumberFormat="0" applyAlignment="0" applyProtection="0"/>
    <xf numFmtId="0" fontId="78" fillId="41" borderId="16" applyNumberFormat="0" applyAlignment="0" applyProtection="0"/>
    <xf numFmtId="0" fontId="42" fillId="68" borderId="16" applyNumberFormat="0" applyAlignment="0" applyProtection="0"/>
    <xf numFmtId="0" fontId="90" fillId="68" borderId="35" applyNumberFormat="0" applyAlignment="0" applyProtection="0"/>
    <xf numFmtId="0" fontId="78" fillId="41" borderId="16" applyNumberFormat="0" applyAlignment="0" applyProtection="0"/>
    <xf numFmtId="0" fontId="42" fillId="68" borderId="16" applyNumberFormat="0" applyAlignment="0" applyProtection="0"/>
    <xf numFmtId="3" fontId="65" fillId="0" borderId="0" applyFont="0" applyFill="0" applyBorder="0" applyAlignment="0" applyProtection="0"/>
    <xf numFmtId="0" fontId="42" fillId="68" borderId="16" applyNumberFormat="0" applyAlignment="0" applyProtection="0"/>
    <xf numFmtId="0" fontId="42" fillId="68"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38" fillId="39" borderId="34" applyNumberFormat="0" applyFont="0" applyAlignment="0" applyProtection="0"/>
    <xf numFmtId="0" fontId="38"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33"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9" borderId="35" applyNumberFormat="0" applyAlignment="0" applyProtection="0"/>
    <xf numFmtId="42" fontId="9" fillId="67" borderId="2">
      <alignment horizontal="left"/>
    </xf>
    <xf numFmtId="42" fontId="9" fillId="67" borderId="2">
      <alignment horizontal="left"/>
    </xf>
    <xf numFmtId="42" fontId="9" fillId="67" borderId="2">
      <alignment horizontal="left"/>
    </xf>
    <xf numFmtId="42" fontId="9" fillId="67" borderId="2">
      <alignment horizontal="left"/>
    </xf>
    <xf numFmtId="201" fontId="98" fillId="67" borderId="2">
      <alignment horizontal="left"/>
    </xf>
    <xf numFmtId="201" fontId="98" fillId="67" borderId="2">
      <alignment horizontal="left"/>
    </xf>
    <xf numFmtId="4" fontId="11" fillId="76" borderId="35" applyNumberFormat="0" applyProtection="0">
      <alignment vertical="center"/>
    </xf>
    <xf numFmtId="4" fontId="11" fillId="76" borderId="35" applyNumberFormat="0" applyProtection="0">
      <alignment vertical="center"/>
    </xf>
    <xf numFmtId="4" fontId="99" fillId="76" borderId="35" applyNumberFormat="0" applyProtection="0">
      <alignment vertical="center"/>
    </xf>
    <xf numFmtId="4" fontId="99" fillId="76" borderId="35" applyNumberFormat="0" applyProtection="0">
      <alignment vertical="center"/>
    </xf>
    <xf numFmtId="4" fontId="11" fillId="76" borderId="35" applyNumberFormat="0" applyProtection="0">
      <alignment horizontal="left" vertical="center" indent="1"/>
    </xf>
    <xf numFmtId="4" fontId="11" fillId="76" borderId="35" applyNumberFormat="0" applyProtection="0">
      <alignment horizontal="left" vertical="center" indent="1"/>
    </xf>
    <xf numFmtId="4" fontId="11" fillId="76" borderId="35" applyNumberFormat="0" applyProtection="0">
      <alignment horizontal="left" vertical="center" indent="1"/>
    </xf>
    <xf numFmtId="4" fontId="11" fillId="76"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83" borderId="35" applyNumberFormat="0" applyProtection="0">
      <alignment horizontal="right" vertical="center"/>
    </xf>
    <xf numFmtId="4" fontId="11" fillId="83" borderId="35" applyNumberFormat="0" applyProtection="0">
      <alignment horizontal="right" vertical="center"/>
    </xf>
    <xf numFmtId="4" fontId="11" fillId="84" borderId="35" applyNumberFormat="0" applyProtection="0">
      <alignment horizontal="right" vertical="center"/>
    </xf>
    <xf numFmtId="4" fontId="11" fillId="84" borderId="35" applyNumberFormat="0" applyProtection="0">
      <alignment horizontal="right" vertical="center"/>
    </xf>
    <xf numFmtId="4" fontId="11" fillId="85" borderId="35" applyNumberFormat="0" applyProtection="0">
      <alignment horizontal="right" vertical="center"/>
    </xf>
    <xf numFmtId="4" fontId="11" fillId="85" borderId="35" applyNumberFormat="0" applyProtection="0">
      <alignment horizontal="right" vertical="center"/>
    </xf>
    <xf numFmtId="4" fontId="11" fillId="86" borderId="35" applyNumberFormat="0" applyProtection="0">
      <alignment horizontal="right" vertical="center"/>
    </xf>
    <xf numFmtId="4" fontId="11" fillId="86" borderId="35" applyNumberFormat="0" applyProtection="0">
      <alignment horizontal="right" vertical="center"/>
    </xf>
    <xf numFmtId="4" fontId="11" fillId="87" borderId="35" applyNumberFormat="0" applyProtection="0">
      <alignment horizontal="right" vertical="center"/>
    </xf>
    <xf numFmtId="4" fontId="11" fillId="87" borderId="35" applyNumberFormat="0" applyProtection="0">
      <alignment horizontal="right" vertical="center"/>
    </xf>
    <xf numFmtId="4" fontId="11" fillId="88" borderId="35" applyNumberFormat="0" applyProtection="0">
      <alignment horizontal="right" vertical="center"/>
    </xf>
    <xf numFmtId="4" fontId="11" fillId="88" borderId="35" applyNumberFormat="0" applyProtection="0">
      <alignment horizontal="right" vertical="center"/>
    </xf>
    <xf numFmtId="4" fontId="11" fillId="89" borderId="35" applyNumberFormat="0" applyProtection="0">
      <alignment horizontal="right" vertical="center"/>
    </xf>
    <xf numFmtId="4" fontId="11" fillId="89" borderId="35" applyNumberFormat="0" applyProtection="0">
      <alignment horizontal="right" vertical="center"/>
    </xf>
    <xf numFmtId="4" fontId="11" fillId="90" borderId="35" applyNumberFormat="0" applyProtection="0">
      <alignment horizontal="right" vertical="center"/>
    </xf>
    <xf numFmtId="4" fontId="11" fillId="90" borderId="35" applyNumberFormat="0" applyProtection="0">
      <alignment horizontal="right" vertical="center"/>
    </xf>
    <xf numFmtId="4" fontId="11" fillId="91" borderId="35" applyNumberFormat="0" applyProtection="0">
      <alignment horizontal="right" vertical="center"/>
    </xf>
    <xf numFmtId="4" fontId="11" fillId="91" borderId="35" applyNumberFormat="0" applyProtection="0">
      <alignment horizontal="right" vertical="center"/>
    </xf>
    <xf numFmtId="4" fontId="12" fillId="92" borderId="35" applyNumberFormat="0" applyProtection="0">
      <alignment horizontal="left" vertical="center" indent="1"/>
    </xf>
    <xf numFmtId="4" fontId="12" fillId="92"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8" borderId="35" applyNumberFormat="0" applyProtection="0">
      <alignment vertical="center"/>
    </xf>
    <xf numFmtId="4" fontId="11" fillId="98" borderId="35" applyNumberFormat="0" applyProtection="0">
      <alignment vertical="center"/>
    </xf>
    <xf numFmtId="4" fontId="99" fillId="98" borderId="35" applyNumberFormat="0" applyProtection="0">
      <alignment vertical="center"/>
    </xf>
    <xf numFmtId="4" fontId="99" fillId="98" borderId="35" applyNumberFormat="0" applyProtection="0">
      <alignment vertical="center"/>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4" borderId="35" applyNumberFormat="0" applyProtection="0">
      <alignment horizontal="right" vertical="center"/>
    </xf>
    <xf numFmtId="4" fontId="11" fillId="94" borderId="35" applyNumberFormat="0" applyProtection="0">
      <alignment horizontal="right" vertical="center"/>
    </xf>
    <xf numFmtId="4" fontId="11" fillId="94" borderId="35" applyNumberFormat="0" applyProtection="0">
      <alignment horizontal="right" vertical="center"/>
    </xf>
    <xf numFmtId="4" fontId="99" fillId="94" borderId="35" applyNumberFormat="0" applyProtection="0">
      <alignment horizontal="right" vertical="center"/>
    </xf>
    <xf numFmtId="4" fontId="99" fillId="94" borderId="35" applyNumberFormat="0" applyProtection="0">
      <alignment horizontal="right" vertical="center"/>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04" fillId="94" borderId="35" applyNumberFormat="0" applyProtection="0">
      <alignment horizontal="right" vertical="center"/>
    </xf>
    <xf numFmtId="4" fontId="104" fillId="94" borderId="35" applyNumberFormat="0" applyProtection="0">
      <alignment horizontal="right" vertical="center"/>
    </xf>
    <xf numFmtId="38" fontId="76" fillId="0" borderId="2"/>
    <xf numFmtId="38" fontId="76" fillId="0" borderId="2"/>
    <xf numFmtId="38" fontId="76" fillId="0" borderId="2"/>
    <xf numFmtId="38" fontId="76" fillId="0" borderId="2"/>
    <xf numFmtId="0" fontId="76" fillId="0" borderId="2"/>
    <xf numFmtId="0" fontId="76" fillId="0" borderId="2"/>
    <xf numFmtId="0" fontId="76" fillId="0" borderId="2"/>
    <xf numFmtId="38" fontId="76" fillId="0" borderId="2"/>
    <xf numFmtId="38" fontId="76" fillId="0" borderId="2"/>
    <xf numFmtId="38" fontId="76" fillId="0" borderId="2"/>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67" borderId="51" applyNumberFormat="0">
      <alignment horizontal="center" vertical="center" wrapText="1"/>
    </xf>
    <xf numFmtId="0" fontId="14" fillId="67" borderId="51" applyNumberFormat="0">
      <alignment horizontal="center" vertical="center" wrapText="1"/>
    </xf>
    <xf numFmtId="0" fontId="66" fillId="0" borderId="52"/>
    <xf numFmtId="0" fontId="95" fillId="79" borderId="52"/>
    <xf numFmtId="0" fontId="14" fillId="67" borderId="51" applyNumberFormat="0">
      <alignment horizontal="center" vertical="center" wrapText="1"/>
    </xf>
    <xf numFmtId="0" fontId="14" fillId="67" borderId="51" applyNumberFormat="0">
      <alignment horizontal="center" vertical="center" wrapText="1"/>
    </xf>
  </cellStyleXfs>
  <cellXfs count="219">
    <xf numFmtId="0" fontId="0" fillId="0" borderId="0" xfId="0"/>
    <xf numFmtId="0" fontId="5" fillId="2" borderId="0" xfId="3" applyFont="1" applyFill="1" applyAlignment="1">
      <alignment horizontal="center"/>
    </xf>
    <xf numFmtId="0" fontId="4" fillId="2" borderId="0" xfId="3" applyFont="1" applyFill="1" applyAlignment="1">
      <alignment horizontal="left"/>
    </xf>
    <xf numFmtId="0" fontId="4" fillId="2" borderId="0" xfId="3" applyFont="1" applyFill="1" applyAlignment="1">
      <alignment horizontal="right"/>
    </xf>
    <xf numFmtId="0" fontId="4" fillId="0" borderId="0" xfId="3" applyFont="1" applyFill="1" applyAlignment="1">
      <alignment horizontal="center"/>
    </xf>
    <xf numFmtId="0" fontId="4" fillId="0" borderId="0" xfId="3" applyFont="1" applyFill="1"/>
    <xf numFmtId="0" fontId="14" fillId="0" borderId="0" xfId="7" applyFont="1" applyFill="1"/>
    <xf numFmtId="172" fontId="12" fillId="0" borderId="0" xfId="7" applyNumberFormat="1" applyFont="1" applyFill="1" applyBorder="1" applyAlignment="1">
      <alignment horizontal="right" vertical="center"/>
    </xf>
    <xf numFmtId="171" fontId="12" fillId="0" borderId="0" xfId="7" applyNumberFormat="1" applyFont="1" applyFill="1" applyBorder="1" applyAlignment="1">
      <alignment horizontal="right" vertical="center"/>
    </xf>
    <xf numFmtId="170" fontId="12" fillId="0" borderId="0" xfId="7" applyNumberFormat="1" applyFont="1" applyFill="1" applyBorder="1" applyAlignment="1">
      <alignment horizontal="right" vertical="center"/>
    </xf>
    <xf numFmtId="43" fontId="0" fillId="0" borderId="0" xfId="6" applyFont="1"/>
    <xf numFmtId="0" fontId="10"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5" fillId="2" borderId="1" xfId="3" applyNumberFormat="1" applyFont="1" applyFill="1" applyBorder="1" applyAlignment="1">
      <alignment horizontal="center" vertical="center"/>
    </xf>
    <xf numFmtId="43" fontId="0" fillId="0" borderId="0" xfId="6" applyFont="1"/>
    <xf numFmtId="0" fontId="0" fillId="0" borderId="0" xfId="0"/>
    <xf numFmtId="0" fontId="4" fillId="2" borderId="0" xfId="3" applyFont="1" applyFill="1"/>
    <xf numFmtId="0" fontId="0" fillId="0" borderId="0" xfId="0" applyFill="1"/>
    <xf numFmtId="0" fontId="10" fillId="0" borderId="3" xfId="0" applyFont="1" applyFill="1" applyBorder="1" applyAlignment="1">
      <alignment horizontal="left" vertical="top"/>
    </xf>
    <xf numFmtId="0" fontId="11" fillId="0" borderId="3" xfId="0" applyFont="1" applyFill="1" applyBorder="1" applyAlignment="1">
      <alignment horizontal="left" vertical="top"/>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3" xfId="0" applyFont="1" applyFill="1" applyBorder="1" applyAlignment="1">
      <alignment horizontal="left" vertical="center"/>
    </xf>
    <xf numFmtId="171" fontId="10" fillId="0" borderId="3" xfId="0" applyNumberFormat="1" applyFont="1" applyFill="1" applyBorder="1" applyAlignment="1">
      <alignment horizontal="right" vertical="center"/>
    </xf>
    <xf numFmtId="170" fontId="10" fillId="0" borderId="3" xfId="0" applyNumberFormat="1" applyFont="1" applyFill="1" applyBorder="1" applyAlignment="1">
      <alignment horizontal="right" vertical="center"/>
    </xf>
    <xf numFmtId="0" fontId="10" fillId="0" borderId="5" xfId="0" applyFont="1" applyFill="1" applyBorder="1" applyAlignment="1">
      <alignment horizontal="left" vertical="top" wrapText="1"/>
    </xf>
    <xf numFmtId="0" fontId="10" fillId="0" borderId="5" xfId="0" applyFont="1" applyFill="1" applyBorder="1" applyAlignment="1">
      <alignment horizontal="left" vertical="top"/>
    </xf>
    <xf numFmtId="0" fontId="10" fillId="0" borderId="50" xfId="0" applyFont="1" applyFill="1" applyBorder="1" applyAlignment="1">
      <alignment horizontal="left" vertical="top"/>
    </xf>
    <xf numFmtId="0" fontId="10" fillId="0" borderId="50" xfId="0" applyFont="1" applyFill="1" applyBorder="1" applyAlignment="1">
      <alignment horizontal="left" vertical="top" wrapText="1"/>
    </xf>
    <xf numFmtId="0" fontId="29"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5" fillId="2" borderId="0" xfId="3" applyFont="1" applyFill="1" applyAlignment="1">
      <alignment horizontal="center" wrapText="1"/>
    </xf>
    <xf numFmtId="0" fontId="8" fillId="0" borderId="0" xfId="3" applyFont="1" applyAlignment="1">
      <alignment horizontal="center" wrapText="1"/>
    </xf>
    <xf numFmtId="0" fontId="4" fillId="2" borderId="0" xfId="3" applyFont="1" applyFill="1" applyAlignment="1">
      <alignment horizontal="center"/>
    </xf>
    <xf numFmtId="165" fontId="6" fillId="2" borderId="0" xfId="4" applyNumberFormat="1" applyFont="1" applyFill="1"/>
    <xf numFmtId="167" fontId="6" fillId="2" borderId="0" xfId="3" applyNumberFormat="1" applyFont="1" applyFill="1"/>
    <xf numFmtId="0" fontId="0" fillId="0" borderId="0" xfId="0"/>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172" fontId="12" fillId="106" borderId="3" xfId="0" applyNumberFormat="1" applyFont="1" applyFill="1" applyBorder="1" applyAlignment="1">
      <alignment horizontal="right" vertical="center"/>
    </xf>
    <xf numFmtId="172" fontId="12" fillId="106" borderId="3" xfId="7" applyNumberFormat="1" applyFont="1" applyFill="1" applyBorder="1" applyAlignment="1">
      <alignment horizontal="right" vertical="center"/>
    </xf>
    <xf numFmtId="171" fontId="12" fillId="106" borderId="3" xfId="0" applyNumberFormat="1" applyFont="1" applyFill="1" applyBorder="1" applyAlignment="1">
      <alignment horizontal="right" vertical="center"/>
    </xf>
    <xf numFmtId="170" fontId="12" fillId="106" borderId="3" xfId="0" applyNumberFormat="1" applyFont="1" applyFill="1" applyBorder="1" applyAlignment="1">
      <alignment horizontal="right" vertical="center"/>
    </xf>
    <xf numFmtId="172" fontId="12" fillId="107" borderId="3" xfId="0" applyNumberFormat="1" applyFont="1" applyFill="1" applyBorder="1" applyAlignment="1">
      <alignment horizontal="right" vertical="center"/>
    </xf>
    <xf numFmtId="0" fontId="12" fillId="107" borderId="3" xfId="7" applyNumberFormat="1" applyFont="1" applyFill="1" applyBorder="1" applyAlignment="1">
      <alignment horizontal="right" vertical="center"/>
    </xf>
    <xf numFmtId="171" fontId="12" fillId="107" borderId="3" xfId="0" applyNumberFormat="1" applyFont="1" applyFill="1" applyBorder="1" applyAlignment="1">
      <alignment horizontal="right" vertical="center"/>
    </xf>
    <xf numFmtId="170" fontId="12" fillId="107" borderId="3" xfId="0" applyNumberFormat="1" applyFont="1" applyFill="1" applyBorder="1" applyAlignment="1">
      <alignment horizontal="right" vertical="center"/>
    </xf>
    <xf numFmtId="0" fontId="10" fillId="108" borderId="3" xfId="0" applyFont="1" applyFill="1" applyBorder="1" applyAlignment="1">
      <alignment horizontal="center" wrapText="1"/>
    </xf>
    <xf numFmtId="0" fontId="11" fillId="108" borderId="3" xfId="0" applyFont="1" applyFill="1" applyBorder="1" applyAlignment="1">
      <alignment horizontal="center"/>
    </xf>
    <xf numFmtId="0" fontId="10" fillId="108" borderId="3" xfId="0" applyFont="1" applyFill="1" applyBorder="1" applyAlignment="1">
      <alignment horizontal="center"/>
    </xf>
    <xf numFmtId="172" fontId="12" fillId="107" borderId="3" xfId="7" applyNumberFormat="1" applyFont="1" applyFill="1" applyBorder="1" applyAlignment="1">
      <alignment horizontal="right" vertical="center"/>
    </xf>
    <xf numFmtId="0" fontId="0" fillId="0" borderId="0" xfId="0" applyAlignment="1">
      <alignment horizontal="center" wrapText="1"/>
    </xf>
    <xf numFmtId="0" fontId="4" fillId="2" borderId="0" xfId="3" applyFont="1" applyFill="1" applyAlignment="1">
      <alignment horizontal="center" vertical="center" wrapText="1"/>
    </xf>
    <xf numFmtId="0" fontId="5" fillId="2" borderId="51" xfId="3" applyFont="1" applyFill="1" applyBorder="1" applyAlignment="1">
      <alignment horizontal="center" vertical="center"/>
    </xf>
    <xf numFmtId="0" fontId="4" fillId="2" borderId="0" xfId="0" applyFont="1" applyFill="1" applyAlignment="1">
      <alignment horizontal="center"/>
    </xf>
    <xf numFmtId="0" fontId="5" fillId="2" borderId="51" xfId="3" applyFont="1" applyFill="1" applyBorder="1" applyAlignment="1">
      <alignment horizontal="center" vertical="center" wrapText="1"/>
    </xf>
    <xf numFmtId="0" fontId="5" fillId="2" borderId="51" xfId="3" applyFont="1" applyFill="1" applyBorder="1" applyAlignment="1">
      <alignment vertical="center"/>
    </xf>
    <xf numFmtId="164" fontId="5" fillId="2" borderId="51" xfId="3" applyNumberFormat="1" applyFont="1" applyFill="1" applyBorder="1" applyAlignment="1">
      <alignment horizontal="center" vertical="center"/>
    </xf>
    <xf numFmtId="166" fontId="6" fillId="0" borderId="0" xfId="3" applyNumberFormat="1" applyFont="1" applyFill="1" applyAlignment="1">
      <alignment vertical="center" wrapText="1"/>
    </xf>
    <xf numFmtId="167" fontId="6" fillId="0" borderId="0" xfId="3" applyNumberFormat="1" applyFont="1" applyFill="1"/>
    <xf numFmtId="0" fontId="5" fillId="0" borderId="0" xfId="3" applyFont="1" applyFill="1" applyAlignment="1">
      <alignment horizontal="center" wrapText="1"/>
    </xf>
    <xf numFmtId="164" fontId="5" fillId="0" borderId="1" xfId="3" applyNumberFormat="1" applyFont="1" applyFill="1" applyBorder="1" applyAlignment="1">
      <alignment horizontal="center" vertical="center"/>
    </xf>
    <xf numFmtId="165" fontId="6" fillId="0" borderId="0" xfId="4" applyNumberFormat="1" applyFont="1" applyFill="1"/>
    <xf numFmtId="165" fontId="4" fillId="0" borderId="0" xfId="4" applyNumberFormat="1" applyFont="1" applyFill="1"/>
    <xf numFmtId="167" fontId="4" fillId="0" borderId="0" xfId="3" applyNumberFormat="1" applyFont="1" applyFill="1"/>
    <xf numFmtId="0" fontId="6" fillId="0" borderId="0" xfId="3" applyFont="1" applyFill="1"/>
    <xf numFmtId="166" fontId="4" fillId="0" borderId="0" xfId="1" applyNumberFormat="1" applyFont="1" applyFill="1"/>
    <xf numFmtId="0" fontId="4"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166" fontId="4" fillId="2" borderId="0" xfId="3" applyNumberFormat="1" applyFont="1" applyFill="1" applyAlignment="1">
      <alignment vertical="center"/>
    </xf>
    <xf numFmtId="0" fontId="4" fillId="2" borderId="0" xfId="3" applyFont="1" applyFill="1" applyAlignment="1">
      <alignment vertical="center" wrapText="1"/>
    </xf>
    <xf numFmtId="0" fontId="4" fillId="2" borderId="0" xfId="0" applyFont="1" applyFill="1" applyAlignment="1">
      <alignment horizontal="right"/>
    </xf>
    <xf numFmtId="164" fontId="5" fillId="2" borderId="51" xfId="3" applyNumberFormat="1" applyFont="1" applyFill="1" applyBorder="1" applyAlignment="1">
      <alignment horizontal="right" vertical="center"/>
    </xf>
    <xf numFmtId="0" fontId="171" fillId="2" borderId="0" xfId="3" applyFont="1" applyFill="1" applyAlignment="1">
      <alignment horizontal="center"/>
    </xf>
    <xf numFmtId="165" fontId="170" fillId="0" borderId="0" xfId="4" applyNumberFormat="1" applyFont="1" applyFill="1" applyAlignment="1">
      <alignment horizontal="right"/>
    </xf>
    <xf numFmtId="167" fontId="170" fillId="0" borderId="0" xfId="3" applyNumberFormat="1" applyFont="1" applyFill="1" applyAlignment="1">
      <alignment horizontal="right"/>
    </xf>
    <xf numFmtId="165" fontId="6" fillId="2" borderId="0" xfId="4" applyNumberFormat="1" applyFont="1" applyFill="1" applyAlignment="1">
      <alignment horizontal="right"/>
    </xf>
    <xf numFmtId="0" fontId="4" fillId="2" borderId="0" xfId="3" applyFont="1" applyFill="1" applyAlignment="1">
      <alignment horizontal="center" vertical="center"/>
    </xf>
    <xf numFmtId="166" fontId="6" fillId="2" borderId="0" xfId="3" applyNumberFormat="1" applyFont="1" applyFill="1" applyAlignment="1">
      <alignment horizontal="right" vertical="center" wrapText="1"/>
    </xf>
    <xf numFmtId="44" fontId="6" fillId="2" borderId="0" xfId="3" applyNumberFormat="1" applyFont="1" applyFill="1" applyAlignment="1">
      <alignment horizontal="right" vertical="center" wrapText="1"/>
    </xf>
    <xf numFmtId="167" fontId="6" fillId="2" borderId="0" xfId="3" applyNumberFormat="1" applyFont="1" applyFill="1" applyAlignment="1">
      <alignment horizontal="right"/>
    </xf>
    <xf numFmtId="0" fontId="6" fillId="2" borderId="0" xfId="3" applyFont="1" applyFill="1" applyAlignment="1">
      <alignment horizontal="right"/>
    </xf>
    <xf numFmtId="168" fontId="6" fillId="2" borderId="0" xfId="5" applyNumberFormat="1" applyFont="1" applyFill="1" applyAlignment="1">
      <alignment horizontal="right"/>
    </xf>
    <xf numFmtId="166" fontId="4" fillId="2" borderId="0" xfId="1" applyNumberFormat="1" applyFont="1" applyFill="1" applyAlignment="1">
      <alignment horizontal="right"/>
    </xf>
    <xf numFmtId="0" fontId="4" fillId="2" borderId="0" xfId="0" applyFont="1" applyFill="1"/>
    <xf numFmtId="0" fontId="4" fillId="106" borderId="0" xfId="3" applyFont="1" applyFill="1" applyAlignment="1">
      <alignment horizontal="center"/>
    </xf>
    <xf numFmtId="0" fontId="4" fillId="106" borderId="0" xfId="3" applyFont="1" applyFill="1"/>
    <xf numFmtId="167" fontId="6" fillId="106" borderId="0" xfId="3" applyNumberFormat="1" applyFont="1" applyFill="1" applyAlignment="1">
      <alignment horizontal="right"/>
    </xf>
    <xf numFmtId="0" fontId="4" fillId="106" borderId="0" xfId="3" applyFont="1" applyFill="1" applyAlignment="1">
      <alignment horizontal="center" vertical="center" wrapText="1"/>
    </xf>
    <xf numFmtId="169" fontId="4" fillId="106" borderId="0" xfId="6" applyNumberFormat="1" applyFont="1" applyFill="1"/>
    <xf numFmtId="10" fontId="6" fillId="2" borderId="0" xfId="2" applyNumberFormat="1" applyFont="1" applyFill="1" applyAlignment="1">
      <alignment horizontal="right"/>
    </xf>
    <xf numFmtId="167" fontId="6" fillId="106" borderId="0" xfId="5" applyNumberFormat="1" applyFont="1" applyFill="1" applyAlignment="1">
      <alignment horizontal="right"/>
    </xf>
    <xf numFmtId="0" fontId="4" fillId="109" borderId="0" xfId="3" applyFont="1" applyFill="1" applyAlignment="1">
      <alignment horizontal="center"/>
    </xf>
    <xf numFmtId="0" fontId="5" fillId="109" borderId="0" xfId="3" applyFont="1" applyFill="1"/>
    <xf numFmtId="0" fontId="5" fillId="109" borderId="0" xfId="3" applyFont="1" applyFill="1" applyAlignment="1">
      <alignment horizontal="center"/>
    </xf>
    <xf numFmtId="167" fontId="7" fillId="109" borderId="2" xfId="5" applyNumberFormat="1" applyFont="1" applyFill="1" applyBorder="1" applyAlignment="1">
      <alignment horizontal="right"/>
    </xf>
    <xf numFmtId="167" fontId="6" fillId="2" borderId="0" xfId="3" applyNumberFormat="1" applyFont="1" applyFill="1" applyBorder="1" applyAlignment="1">
      <alignment horizontal="right"/>
    </xf>
    <xf numFmtId="165" fontId="170" fillId="2" borderId="0" xfId="4" applyNumberFormat="1" applyFont="1" applyFill="1" applyAlignment="1">
      <alignment horizontal="right"/>
    </xf>
    <xf numFmtId="167" fontId="170" fillId="2" borderId="0" xfId="3" applyNumberFormat="1" applyFont="1" applyFill="1" applyAlignment="1">
      <alignment horizontal="right"/>
    </xf>
    <xf numFmtId="166" fontId="4" fillId="2" borderId="0" xfId="3" applyNumberFormat="1" applyFont="1" applyFill="1" applyAlignment="1">
      <alignment horizontal="right"/>
    </xf>
    <xf numFmtId="0" fontId="4" fillId="2" borderId="0" xfId="3" applyFont="1" applyFill="1" applyAlignment="1">
      <alignment wrapText="1"/>
    </xf>
    <xf numFmtId="167" fontId="6" fillId="2" borderId="0" xfId="3" applyNumberFormat="1" applyFont="1" applyFill="1" applyAlignment="1">
      <alignment horizontal="right" vertical="center"/>
    </xf>
    <xf numFmtId="0" fontId="4" fillId="2" borderId="0" xfId="3" applyFont="1" applyFill="1" applyAlignment="1">
      <alignment vertical="center"/>
    </xf>
    <xf numFmtId="167" fontId="4" fillId="2" borderId="0" xfId="3" applyNumberFormat="1" applyFont="1" applyFill="1" applyAlignment="1">
      <alignment horizontal="right" vertical="center"/>
    </xf>
    <xf numFmtId="165" fontId="172" fillId="0" borderId="0" xfId="4" applyNumberFormat="1" applyFont="1" applyFill="1" applyAlignment="1">
      <alignment horizontal="right"/>
    </xf>
    <xf numFmtId="165" fontId="6" fillId="0" borderId="0" xfId="4" applyNumberFormat="1" applyFont="1" applyFill="1" applyAlignment="1">
      <alignment horizontal="right"/>
    </xf>
    <xf numFmtId="167" fontId="172" fillId="0" borderId="0" xfId="3" applyNumberFormat="1" applyFont="1" applyFill="1" applyAlignment="1">
      <alignment horizontal="right"/>
    </xf>
    <xf numFmtId="167" fontId="6" fillId="0" borderId="0" xfId="3" applyNumberFormat="1" applyFont="1" applyFill="1" applyAlignment="1">
      <alignment horizontal="right"/>
    </xf>
    <xf numFmtId="165" fontId="172" fillId="2" borderId="0" xfId="4" applyNumberFormat="1" applyFont="1" applyFill="1" applyAlignment="1">
      <alignment horizontal="right"/>
    </xf>
    <xf numFmtId="167" fontId="172" fillId="2" borderId="0" xfId="3" applyNumberFormat="1" applyFont="1" applyFill="1" applyAlignment="1">
      <alignment horizontal="right"/>
    </xf>
    <xf numFmtId="166" fontId="6" fillId="0" borderId="0" xfId="3" applyNumberFormat="1" applyFont="1" applyFill="1" applyAlignment="1">
      <alignment horizontal="right" vertical="center" wrapText="1"/>
    </xf>
    <xf numFmtId="44" fontId="6" fillId="0" borderId="0" xfId="3" applyNumberFormat="1" applyFont="1" applyFill="1" applyAlignment="1">
      <alignment horizontal="right" vertical="center" wrapText="1"/>
    </xf>
    <xf numFmtId="168" fontId="6" fillId="0" borderId="0" xfId="5" applyNumberFormat="1" applyFont="1" applyFill="1" applyAlignment="1">
      <alignment horizontal="right"/>
    </xf>
    <xf numFmtId="0" fontId="4" fillId="2" borderId="53" xfId="3" applyFont="1" applyFill="1" applyBorder="1" applyAlignment="1">
      <alignment horizontal="center" vertical="center"/>
    </xf>
    <xf numFmtId="0" fontId="4" fillId="2" borderId="18" xfId="3" applyFont="1" applyFill="1" applyBorder="1" applyAlignment="1">
      <alignment horizontal="center" wrapText="1"/>
    </xf>
    <xf numFmtId="0" fontId="0" fillId="0" borderId="54" xfId="0" applyBorder="1"/>
    <xf numFmtId="167" fontId="5" fillId="2" borderId="18" xfId="3" applyNumberFormat="1" applyFont="1" applyFill="1" applyBorder="1" applyAlignment="1">
      <alignment horizontal="right" vertical="center"/>
    </xf>
    <xf numFmtId="0" fontId="5" fillId="2" borderId="18" xfId="3" applyFont="1" applyFill="1" applyBorder="1" applyAlignment="1">
      <alignment horizontal="left" vertical="center" wrapText="1"/>
    </xf>
    <xf numFmtId="167" fontId="0" fillId="0" borderId="0" xfId="0" applyNumberFormat="1"/>
    <xf numFmtId="0" fontId="0" fillId="0" borderId="0" xfId="0" applyFill="1" applyAlignment="1">
      <alignment vertical="top" wrapText="1"/>
    </xf>
    <xf numFmtId="169" fontId="4" fillId="106" borderId="0" xfId="6" applyNumberFormat="1" applyFont="1" applyFill="1" applyAlignment="1">
      <alignment horizontal="center"/>
    </xf>
    <xf numFmtId="0" fontId="0" fillId="0" borderId="0" xfId="0" applyAlignment="1">
      <alignment shrinkToFit="1"/>
    </xf>
    <xf numFmtId="166" fontId="0" fillId="0" borderId="0" xfId="0" applyNumberFormat="1"/>
    <xf numFmtId="0" fontId="173" fillId="0" borderId="0" xfId="0" applyFont="1" applyAlignment="1">
      <alignment horizontal="right"/>
    </xf>
    <xf numFmtId="172" fontId="12" fillId="106" borderId="52" xfId="7" applyNumberFormat="1" applyFont="1" applyFill="1" applyBorder="1" applyAlignment="1">
      <alignment horizontal="right" vertical="center"/>
    </xf>
    <xf numFmtId="0" fontId="10" fillId="0" borderId="55" xfId="0" applyFont="1" applyFill="1" applyBorder="1" applyAlignment="1">
      <alignment horizontal="left" vertical="top"/>
    </xf>
    <xf numFmtId="0" fontId="10" fillId="0" borderId="56" xfId="0" applyFont="1" applyFill="1" applyBorder="1" applyAlignment="1">
      <alignment horizontal="left" vertical="top"/>
    </xf>
    <xf numFmtId="0" fontId="10" fillId="0" borderId="57" xfId="0" applyFont="1" applyFill="1" applyBorder="1" applyAlignment="1">
      <alignment horizontal="left" vertical="top"/>
    </xf>
    <xf numFmtId="0" fontId="10" fillId="108" borderId="36" xfId="0" applyFont="1" applyFill="1" applyBorder="1" applyAlignment="1">
      <alignment horizontal="center"/>
    </xf>
    <xf numFmtId="172" fontId="12" fillId="106" borderId="0" xfId="7" applyNumberFormat="1" applyFont="1" applyFill="1" applyBorder="1" applyAlignment="1">
      <alignment horizontal="right" vertical="center"/>
    </xf>
    <xf numFmtId="0" fontId="10" fillId="108" borderId="3" xfId="0" applyFont="1" applyFill="1" applyBorder="1" applyAlignment="1">
      <alignment horizontal="left" vertical="center" wrapText="1"/>
    </xf>
    <xf numFmtId="0" fontId="11" fillId="108" borderId="3" xfId="0" applyFont="1" applyFill="1" applyBorder="1" applyAlignment="1">
      <alignment horizontal="left" vertical="top"/>
    </xf>
    <xf numFmtId="0" fontId="10" fillId="108" borderId="3" xfId="0" applyFont="1" applyFill="1" applyBorder="1" applyAlignment="1">
      <alignment horizontal="left" vertical="top"/>
    </xf>
    <xf numFmtId="0" fontId="10" fillId="108" borderId="3" xfId="0" applyFont="1" applyFill="1" applyBorder="1" applyAlignment="1">
      <alignment horizontal="center" vertical="center" wrapText="1"/>
    </xf>
    <xf numFmtId="0" fontId="10" fillId="108" borderId="3" xfId="0" applyFont="1" applyFill="1" applyBorder="1" applyAlignment="1">
      <alignment horizontal="right" vertical="center" wrapText="1"/>
    </xf>
    <xf numFmtId="165" fontId="170" fillId="0" borderId="0" xfId="4" applyNumberFormat="1" applyFont="1" applyFill="1" applyBorder="1" applyAlignment="1">
      <alignment horizontal="right"/>
    </xf>
    <xf numFmtId="167" fontId="170" fillId="0" borderId="0" xfId="3" applyNumberFormat="1" applyFont="1" applyFill="1" applyBorder="1" applyAlignment="1">
      <alignment horizontal="right"/>
    </xf>
    <xf numFmtId="172" fontId="12" fillId="0" borderId="0" xfId="7" applyNumberFormat="1" applyFont="1" applyFill="1" applyBorder="1" applyAlignment="1">
      <alignment horizontal="left" vertical="center"/>
    </xf>
    <xf numFmtId="4" fontId="0" fillId="0" borderId="0" xfId="0" applyNumberFormat="1"/>
    <xf numFmtId="172" fontId="12" fillId="0" borderId="0" xfId="0" applyNumberFormat="1" applyFont="1" applyFill="1" applyBorder="1" applyAlignment="1">
      <alignment horizontal="right" vertical="center"/>
    </xf>
    <xf numFmtId="0" fontId="12" fillId="0" borderId="0" xfId="7" applyNumberFormat="1" applyFont="1" applyFill="1" applyBorder="1" applyAlignment="1">
      <alignment horizontal="right" vertical="center"/>
    </xf>
    <xf numFmtId="171" fontId="12" fillId="0" borderId="0" xfId="0" applyNumberFormat="1" applyFont="1" applyFill="1" applyBorder="1" applyAlignment="1">
      <alignment horizontal="right" vertical="center"/>
    </xf>
    <xf numFmtId="170" fontId="12" fillId="0" borderId="0" xfId="0" applyNumberFormat="1" applyFont="1" applyFill="1" applyBorder="1" applyAlignment="1">
      <alignment horizontal="right" vertical="center"/>
    </xf>
    <xf numFmtId="202" fontId="169" fillId="0" borderId="0" xfId="0" applyNumberFormat="1" applyFont="1" applyFill="1" applyAlignment="1">
      <alignment vertical="top"/>
    </xf>
    <xf numFmtId="202" fontId="0" fillId="0" borderId="0" xfId="0" applyNumberFormat="1" applyFill="1" applyAlignment="1">
      <alignment vertical="top"/>
    </xf>
    <xf numFmtId="165" fontId="6" fillId="0" borderId="0" xfId="6" applyNumberFormat="1" applyFont="1" applyFill="1"/>
    <xf numFmtId="165" fontId="4" fillId="0" borderId="0" xfId="6" applyNumberFormat="1" applyFont="1" applyFill="1"/>
    <xf numFmtId="165" fontId="6" fillId="2" borderId="0" xfId="6" applyNumberFormat="1" applyFont="1" applyFill="1"/>
    <xf numFmtId="167" fontId="6" fillId="0" borderId="0" xfId="1" applyNumberFormat="1" applyFont="1" applyFill="1"/>
    <xf numFmtId="167" fontId="4" fillId="0" borderId="0" xfId="1" applyNumberFormat="1" applyFont="1" applyFill="1"/>
    <xf numFmtId="167" fontId="6" fillId="2" borderId="0" xfId="1" applyNumberFormat="1" applyFont="1" applyFill="1"/>
    <xf numFmtId="7" fontId="0" fillId="0" borderId="0" xfId="0" applyNumberFormat="1"/>
    <xf numFmtId="0" fontId="11" fillId="106" borderId="3" xfId="0" applyFont="1" applyFill="1" applyBorder="1" applyAlignment="1">
      <alignment horizontal="left" vertical="top"/>
    </xf>
    <xf numFmtId="165" fontId="169" fillId="0" borderId="0" xfId="6" applyNumberFormat="1" applyFont="1" applyFill="1" applyAlignment="1">
      <alignment vertical="top"/>
    </xf>
    <xf numFmtId="166" fontId="169" fillId="0" borderId="0" xfId="0" applyNumberFormat="1" applyFont="1" applyFill="1" applyAlignment="1">
      <alignment vertical="top"/>
    </xf>
    <xf numFmtId="166" fontId="27" fillId="0" borderId="0" xfId="0" applyNumberFormat="1" applyFont="1" applyFill="1" applyAlignment="1">
      <alignment vertical="top"/>
    </xf>
    <xf numFmtId="0" fontId="27" fillId="0" borderId="0" xfId="0" applyFont="1" applyFill="1" applyAlignment="1">
      <alignment horizontal="left" wrapText="1"/>
    </xf>
    <xf numFmtId="0" fontId="27" fillId="0" borderId="0" xfId="0" applyFont="1" applyFill="1"/>
    <xf numFmtId="172" fontId="12" fillId="0" borderId="0" xfId="7" applyNumberFormat="1" applyFont="1" applyFill="1" applyBorder="1" applyAlignment="1">
      <alignment vertical="center"/>
    </xf>
    <xf numFmtId="0" fontId="10" fillId="0" borderId="0" xfId="0" applyFont="1" applyFill="1" applyBorder="1" applyAlignment="1">
      <alignment horizontal="left" vertical="top" wrapText="1"/>
    </xf>
    <xf numFmtId="0" fontId="4" fillId="2" borderId="0" xfId="3" applyFont="1" applyFill="1" applyBorder="1" applyAlignment="1">
      <alignment horizontal="right"/>
    </xf>
    <xf numFmtId="165" fontId="6" fillId="2" borderId="0" xfId="4" applyNumberFormat="1" applyFont="1" applyFill="1" applyBorder="1" applyAlignment="1">
      <alignment horizontal="right"/>
    </xf>
    <xf numFmtId="44" fontId="6" fillId="0" borderId="0" xfId="3" applyNumberFormat="1" applyFont="1" applyFill="1" applyBorder="1" applyAlignment="1">
      <alignment horizontal="right" vertical="center" wrapText="1"/>
    </xf>
    <xf numFmtId="0" fontId="6" fillId="2" borderId="0" xfId="3" applyFont="1" applyFill="1" applyBorder="1" applyAlignment="1">
      <alignment horizontal="right"/>
    </xf>
    <xf numFmtId="168" fontId="6" fillId="2" borderId="0" xfId="5" applyNumberFormat="1" applyFont="1" applyFill="1" applyBorder="1" applyAlignment="1">
      <alignment horizontal="right"/>
    </xf>
    <xf numFmtId="166" fontId="4" fillId="2" borderId="0" xfId="1" applyNumberFormat="1" applyFont="1" applyFill="1" applyBorder="1" applyAlignment="1">
      <alignment horizontal="right"/>
    </xf>
    <xf numFmtId="166" fontId="6" fillId="2" borderId="0" xfId="3" applyNumberFormat="1" applyFont="1" applyFill="1" applyBorder="1" applyAlignment="1">
      <alignment horizontal="right" vertical="center" wrapText="1"/>
    </xf>
    <xf numFmtId="167" fontId="6" fillId="106" borderId="0" xfId="3" applyNumberFormat="1" applyFont="1" applyFill="1" applyBorder="1" applyAlignment="1">
      <alignment horizontal="right"/>
    </xf>
    <xf numFmtId="10" fontId="6" fillId="2" borderId="0" xfId="2" applyNumberFormat="1" applyFont="1" applyFill="1" applyBorder="1" applyAlignment="1">
      <alignment horizontal="right"/>
    </xf>
    <xf numFmtId="167" fontId="6" fillId="106" borderId="0" xfId="5" applyNumberFormat="1" applyFont="1" applyFill="1" applyBorder="1" applyAlignment="1">
      <alignment horizontal="right"/>
    </xf>
    <xf numFmtId="165" fontId="170" fillId="2" borderId="0" xfId="4" applyNumberFormat="1" applyFont="1" applyFill="1" applyBorder="1" applyAlignment="1">
      <alignment horizontal="right"/>
    </xf>
    <xf numFmtId="167" fontId="170" fillId="2" borderId="0" xfId="3" applyNumberFormat="1" applyFont="1" applyFill="1" applyBorder="1" applyAlignment="1">
      <alignment horizontal="right"/>
    </xf>
    <xf numFmtId="166" fontId="6" fillId="0" borderId="0" xfId="3" applyNumberFormat="1" applyFont="1" applyFill="1" applyBorder="1" applyAlignment="1">
      <alignment horizontal="right" vertical="center" wrapText="1"/>
    </xf>
    <xf numFmtId="166" fontId="4" fillId="2" borderId="0" xfId="3" applyNumberFormat="1" applyFont="1" applyFill="1" applyBorder="1" applyAlignment="1">
      <alignment horizontal="right"/>
    </xf>
    <xf numFmtId="167" fontId="6" fillId="2" borderId="0" xfId="3" applyNumberFormat="1" applyFont="1" applyFill="1" applyBorder="1" applyAlignment="1">
      <alignment horizontal="right" vertical="center"/>
    </xf>
    <xf numFmtId="0" fontId="0" fillId="0" borderId="0" xfId="0" applyBorder="1"/>
    <xf numFmtId="167" fontId="6" fillId="0" borderId="0" xfId="1" applyNumberFormat="1" applyFont="1" applyFill="1" applyBorder="1"/>
    <xf numFmtId="165" fontId="174" fillId="0" borderId="0" xfId="4" applyNumberFormat="1" applyFont="1" applyFill="1"/>
    <xf numFmtId="0" fontId="3" fillId="2" borderId="0" xfId="3" applyFont="1" applyFill="1" applyAlignment="1">
      <alignment horizontal="left"/>
    </xf>
    <xf numFmtId="44" fontId="6" fillId="2" borderId="0" xfId="3" applyNumberFormat="1" applyFont="1" applyFill="1" applyBorder="1" applyAlignment="1">
      <alignment horizontal="right" vertical="center" wrapText="1"/>
    </xf>
    <xf numFmtId="167" fontId="7" fillId="109" borderId="58" xfId="5" applyNumberFormat="1" applyFont="1" applyFill="1" applyBorder="1" applyAlignment="1">
      <alignment horizontal="right"/>
    </xf>
    <xf numFmtId="167" fontId="4" fillId="2" borderId="0" xfId="3" applyNumberFormat="1" applyFont="1" applyFill="1" applyBorder="1" applyAlignment="1">
      <alignment horizontal="right" vertical="center"/>
    </xf>
    <xf numFmtId="0" fontId="4" fillId="2" borderId="0" xfId="3" applyFont="1" applyFill="1" applyBorder="1" applyAlignment="1">
      <alignment horizontal="center"/>
    </xf>
    <xf numFmtId="165" fontId="172" fillId="0" borderId="0" xfId="4" applyNumberFormat="1" applyFont="1" applyFill="1" applyBorder="1" applyAlignment="1">
      <alignment horizontal="right"/>
    </xf>
    <xf numFmtId="167" fontId="172" fillId="0" borderId="0" xfId="3" applyNumberFormat="1" applyFont="1" applyFill="1" applyBorder="1" applyAlignment="1">
      <alignment horizontal="right"/>
    </xf>
    <xf numFmtId="165" fontId="172" fillId="2" borderId="0" xfId="4" applyNumberFormat="1" applyFont="1" applyFill="1" applyBorder="1" applyAlignment="1">
      <alignment horizontal="right"/>
    </xf>
    <xf numFmtId="167" fontId="172" fillId="2" borderId="0" xfId="3" applyNumberFormat="1" applyFont="1" applyFill="1" applyBorder="1" applyAlignment="1">
      <alignment horizontal="right"/>
    </xf>
    <xf numFmtId="167" fontId="0" fillId="0" borderId="0" xfId="0" applyNumberFormat="1" applyBorder="1"/>
    <xf numFmtId="0" fontId="0" fillId="0" borderId="59" xfId="0" applyBorder="1"/>
    <xf numFmtId="167" fontId="175" fillId="2" borderId="0" xfId="3" applyNumberFormat="1" applyFont="1" applyFill="1" applyAlignment="1">
      <alignment horizontal="right"/>
    </xf>
    <xf numFmtId="172" fontId="12" fillId="107" borderId="61" xfId="0" applyNumberFormat="1" applyFont="1" applyFill="1" applyBorder="1" applyAlignment="1">
      <alignment horizontal="right" vertical="center"/>
    </xf>
    <xf numFmtId="172" fontId="12" fillId="107" borderId="61" xfId="7" applyNumberFormat="1" applyFont="1" applyFill="1" applyBorder="1" applyAlignment="1">
      <alignment horizontal="right" vertical="center"/>
    </xf>
    <xf numFmtId="171" fontId="12" fillId="107" borderId="61" xfId="0" applyNumberFormat="1" applyFont="1" applyFill="1" applyBorder="1" applyAlignment="1">
      <alignment horizontal="right" vertical="center"/>
    </xf>
    <xf numFmtId="170" fontId="12" fillId="107" borderId="61" xfId="0" applyNumberFormat="1" applyFont="1" applyFill="1" applyBorder="1" applyAlignment="1">
      <alignment horizontal="right" vertical="center"/>
    </xf>
    <xf numFmtId="0" fontId="11" fillId="0" borderId="60" xfId="0" applyFont="1" applyFill="1" applyBorder="1" applyAlignment="1">
      <alignment horizontal="left" vertical="top"/>
    </xf>
    <xf numFmtId="0" fontId="10" fillId="0" borderId="60" xfId="0" applyFont="1" applyFill="1" applyBorder="1" applyAlignment="1">
      <alignment horizontal="left" vertical="center"/>
    </xf>
    <xf numFmtId="171" fontId="10" fillId="0" borderId="60" xfId="0" applyNumberFormat="1" applyFont="1" applyFill="1" applyBorder="1" applyAlignment="1">
      <alignment horizontal="right" vertical="center"/>
    </xf>
    <xf numFmtId="170" fontId="10" fillId="0" borderId="60" xfId="0" applyNumberFormat="1" applyFont="1" applyFill="1" applyBorder="1" applyAlignment="1">
      <alignment horizontal="right" vertical="center"/>
    </xf>
    <xf numFmtId="0" fontId="5" fillId="2" borderId="0" xfId="3" applyFont="1" applyFill="1" applyBorder="1" applyAlignment="1">
      <alignment horizontal="center" wrapText="1"/>
    </xf>
    <xf numFmtId="0" fontId="5" fillId="2" borderId="51" xfId="3" applyFont="1" applyFill="1" applyBorder="1" applyAlignment="1">
      <alignment horizontal="center" wrapText="1"/>
    </xf>
    <xf numFmtId="164" fontId="5" fillId="0" borderId="0" xfId="3" applyNumberFormat="1" applyFont="1" applyFill="1" applyBorder="1" applyAlignment="1">
      <alignment horizontal="center" vertical="center"/>
    </xf>
    <xf numFmtId="0" fontId="13" fillId="0" borderId="0" xfId="0" applyFont="1" applyAlignment="1">
      <alignment horizontal="center"/>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center"/>
    </xf>
    <xf numFmtId="0" fontId="0" fillId="0" borderId="0" xfId="0"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512097</xdr:colOff>
      <xdr:row>0</xdr:row>
      <xdr:rowOff>91440</xdr:rowOff>
    </xdr:from>
    <xdr:to>
      <xdr:col>16</xdr:col>
      <xdr:colOff>0</xdr:colOff>
      <xdr:row>3</xdr:row>
      <xdr:rowOff>160020</xdr:rowOff>
    </xdr:to>
    <xdr:sp macro="" textlink="">
      <xdr:nvSpPr>
        <xdr:cNvPr id="2" name="TextBox 1"/>
        <xdr:cNvSpPr txBox="1"/>
      </xdr:nvSpPr>
      <xdr:spPr>
        <a:xfrm>
          <a:off x="5551129" y="91440"/>
          <a:ext cx="3072581" cy="683096"/>
        </a:xfrm>
        <a:prstGeom prst="rect">
          <a:avLst/>
        </a:prstGeom>
        <a:solidFill>
          <a:schemeClr val="accent6">
            <a:lumMod val="20000"/>
            <a:lumOff val="80000"/>
          </a:schemeClr>
        </a:solidFill>
        <a:ln w="12700" cmpd="sng">
          <a:solidFill>
            <a:schemeClr val="accent3">
              <a:lumMod val="50000"/>
            </a:schemeClr>
          </a:solidFill>
        </a:ln>
        <a:effectLst>
          <a:outerShdw blurRad="63500" sx="102000" sy="102000" algn="ctr" rotWithShape="0">
            <a:srgbClr val="00B0F0">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t>ILLUSTRATIVE</a:t>
          </a:r>
        </a:p>
        <a:p>
          <a:pPr algn="ctr"/>
          <a:r>
            <a:rPr lang="en-US" sz="1100" b="1" u="none"/>
            <a:t>ELECTRIC NON-RESIDENTIAL BY RATE 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100"/>
  <sheetViews>
    <sheetView tabSelected="1" topLeftCell="A68" zoomScaleNormal="100" workbookViewId="0">
      <selection activeCell="V102" sqref="V102"/>
    </sheetView>
  </sheetViews>
  <sheetFormatPr defaultRowHeight="15"/>
  <cols>
    <col min="1" max="1" width="5.7109375" customWidth="1"/>
    <col min="2" max="2" width="40.140625" customWidth="1"/>
    <col min="3" max="3" width="19.28515625" customWidth="1"/>
    <col min="4" max="4" width="13" hidden="1" customWidth="1"/>
    <col min="5" max="5" width="13.42578125" hidden="1" customWidth="1"/>
    <col min="6" max="6" width="12.85546875" hidden="1" customWidth="1"/>
    <col min="7" max="9" width="12.28515625" customWidth="1"/>
    <col min="10" max="15" width="12.28515625" hidden="1" customWidth="1"/>
    <col min="16" max="16" width="12.28515625" customWidth="1"/>
    <col min="17" max="17" width="13.140625" customWidth="1"/>
    <col min="18" max="19" width="13.140625" hidden="1" customWidth="1"/>
    <col min="20" max="20" width="13.7109375" customWidth="1"/>
    <col min="21" max="21" width="11.5703125" customWidth="1"/>
    <col min="22" max="22" width="12.28515625" bestFit="1" customWidth="1"/>
    <col min="23" max="23" width="10.7109375" bestFit="1" customWidth="1"/>
    <col min="24" max="24" width="12.28515625" bestFit="1" customWidth="1"/>
    <col min="25" max="25" width="10.7109375" bestFit="1" customWidth="1"/>
    <col min="26" max="27" width="10" bestFit="1" customWidth="1"/>
  </cols>
  <sheetData>
    <row r="1" spans="1:21" ht="15.75">
      <c r="A1" s="80" t="s">
        <v>0</v>
      </c>
      <c r="B1" s="80"/>
      <c r="C1" s="80"/>
      <c r="D1" s="80"/>
      <c r="E1" s="80"/>
      <c r="F1" s="80"/>
      <c r="G1" s="80"/>
      <c r="H1" s="80"/>
      <c r="I1" s="80"/>
      <c r="J1" s="80"/>
      <c r="K1" s="80"/>
      <c r="L1" s="80"/>
      <c r="M1" s="80"/>
      <c r="N1" s="80"/>
      <c r="O1" s="80"/>
    </row>
    <row r="2" spans="1:21" ht="15.75">
      <c r="A2" s="80" t="s">
        <v>72</v>
      </c>
      <c r="B2" s="80"/>
      <c r="C2" s="80"/>
      <c r="D2" s="80"/>
      <c r="E2" s="80"/>
      <c r="F2" s="80"/>
      <c r="G2" s="80"/>
      <c r="H2" s="80"/>
      <c r="I2" s="80"/>
      <c r="J2" s="80"/>
      <c r="K2" s="80"/>
      <c r="L2" s="80"/>
      <c r="M2" s="80"/>
      <c r="N2" s="80"/>
      <c r="O2" s="80"/>
    </row>
    <row r="3" spans="1:21" ht="15.75">
      <c r="A3" s="81" t="s">
        <v>162</v>
      </c>
      <c r="B3" s="80"/>
      <c r="C3" s="80"/>
      <c r="D3" s="80"/>
      <c r="E3" s="80"/>
      <c r="F3" s="80"/>
      <c r="G3" s="80"/>
      <c r="H3" s="80"/>
      <c r="I3" s="80"/>
      <c r="J3" s="80"/>
      <c r="K3" s="80"/>
      <c r="L3" s="80"/>
      <c r="M3" s="80"/>
      <c r="N3" s="80"/>
      <c r="O3" s="80"/>
    </row>
    <row r="4" spans="1:21" ht="15.75" customHeight="1">
      <c r="A4" s="191" t="s">
        <v>164</v>
      </c>
      <c r="B4" s="80"/>
      <c r="C4" s="80"/>
      <c r="D4" s="80"/>
      <c r="E4" s="80"/>
      <c r="F4" s="80"/>
      <c r="G4" s="80"/>
      <c r="H4" s="80"/>
      <c r="I4" s="80"/>
      <c r="J4" s="80"/>
      <c r="K4" s="80"/>
      <c r="L4" s="80"/>
      <c r="M4" s="80"/>
      <c r="N4" s="80"/>
      <c r="O4" s="80"/>
    </row>
    <row r="5" spans="1:21" ht="15.6" customHeight="1">
      <c r="A5" s="80" t="s">
        <v>163</v>
      </c>
      <c r="B5" s="66"/>
      <c r="C5" s="66"/>
      <c r="D5" s="84"/>
      <c r="E5" s="84"/>
      <c r="F5" s="84"/>
      <c r="G5" s="84"/>
      <c r="H5" s="84"/>
      <c r="I5" s="84"/>
      <c r="J5" s="84"/>
      <c r="K5" s="84"/>
      <c r="L5" s="84"/>
      <c r="M5" s="84"/>
      <c r="N5" s="84"/>
      <c r="O5" s="84"/>
    </row>
    <row r="6" spans="1:21" ht="27" customHeight="1">
      <c r="A6" s="211" t="s">
        <v>1</v>
      </c>
      <c r="B6" s="17"/>
      <c r="C6" s="17"/>
      <c r="D6" s="3"/>
      <c r="E6" s="3"/>
      <c r="F6" s="3"/>
      <c r="G6" s="3"/>
      <c r="H6" s="3"/>
      <c r="I6" s="3"/>
      <c r="J6" s="3"/>
      <c r="K6" s="3"/>
      <c r="L6" s="3"/>
      <c r="M6" s="3"/>
      <c r="N6" s="3"/>
      <c r="O6" s="3"/>
      <c r="P6" s="72" t="s">
        <v>165</v>
      </c>
      <c r="Q6" s="72" t="s">
        <v>166</v>
      </c>
      <c r="R6" s="72" t="s">
        <v>167</v>
      </c>
      <c r="S6" s="72" t="s">
        <v>168</v>
      </c>
      <c r="T6" s="72" t="s">
        <v>169</v>
      </c>
    </row>
    <row r="7" spans="1:21" ht="13.9" customHeight="1">
      <c r="A7" s="212"/>
      <c r="B7" s="68"/>
      <c r="C7" s="65" t="s">
        <v>2</v>
      </c>
      <c r="D7" s="85">
        <v>43466</v>
      </c>
      <c r="E7" s="85">
        <f t="shared" ref="E7:O7" si="0">EDATE(D7,1)</f>
        <v>43497</v>
      </c>
      <c r="F7" s="85">
        <f t="shared" si="0"/>
        <v>43525</v>
      </c>
      <c r="G7" s="85">
        <f t="shared" si="0"/>
        <v>43556</v>
      </c>
      <c r="H7" s="85">
        <f t="shared" si="0"/>
        <v>43586</v>
      </c>
      <c r="I7" s="85">
        <f t="shared" si="0"/>
        <v>43617</v>
      </c>
      <c r="J7" s="85">
        <f t="shared" si="0"/>
        <v>43647</v>
      </c>
      <c r="K7" s="85">
        <f t="shared" si="0"/>
        <v>43678</v>
      </c>
      <c r="L7" s="85">
        <f t="shared" si="0"/>
        <v>43709</v>
      </c>
      <c r="M7" s="85">
        <f t="shared" si="0"/>
        <v>43739</v>
      </c>
      <c r="N7" s="85">
        <f t="shared" si="0"/>
        <v>43770</v>
      </c>
      <c r="O7" s="85">
        <f t="shared" si="0"/>
        <v>43800</v>
      </c>
      <c r="P7" s="73" t="s">
        <v>3</v>
      </c>
      <c r="Q7" s="73" t="s">
        <v>3</v>
      </c>
      <c r="R7" s="73" t="s">
        <v>3</v>
      </c>
      <c r="S7" s="73" t="s">
        <v>3</v>
      </c>
      <c r="T7" s="73" t="s">
        <v>3</v>
      </c>
    </row>
    <row r="8" spans="1:21">
      <c r="A8" s="42"/>
      <c r="B8" s="42" t="s">
        <v>4</v>
      </c>
      <c r="C8" s="42" t="s">
        <v>5</v>
      </c>
      <c r="D8" s="3" t="s">
        <v>6</v>
      </c>
      <c r="E8" s="3" t="s">
        <v>7</v>
      </c>
      <c r="F8" s="3" t="s">
        <v>8</v>
      </c>
      <c r="G8" s="3" t="s">
        <v>9</v>
      </c>
      <c r="H8" s="3" t="s">
        <v>10</v>
      </c>
      <c r="I8" s="173" t="s">
        <v>11</v>
      </c>
      <c r="J8" s="3" t="s">
        <v>12</v>
      </c>
      <c r="K8" s="3" t="s">
        <v>13</v>
      </c>
      <c r="L8" s="3" t="s">
        <v>14</v>
      </c>
      <c r="M8" s="3" t="s">
        <v>15</v>
      </c>
      <c r="N8" s="3" t="s">
        <v>16</v>
      </c>
      <c r="O8" s="3" t="s">
        <v>17</v>
      </c>
      <c r="P8" s="4"/>
      <c r="Q8" s="4"/>
      <c r="R8" s="4"/>
      <c r="S8" s="4"/>
      <c r="T8" s="5"/>
    </row>
    <row r="9" spans="1:21">
      <c r="A9" s="42"/>
      <c r="B9" s="1" t="s">
        <v>19</v>
      </c>
      <c r="C9" s="42"/>
      <c r="D9" s="3"/>
      <c r="E9" s="3"/>
      <c r="F9" s="3"/>
      <c r="G9" s="3"/>
      <c r="H9" s="3"/>
      <c r="I9" s="173"/>
      <c r="J9" s="3"/>
      <c r="K9" s="3"/>
      <c r="L9" s="3"/>
      <c r="M9" s="3"/>
      <c r="N9" s="3"/>
      <c r="O9" s="3"/>
      <c r="P9" s="77"/>
      <c r="Q9" s="77"/>
      <c r="R9" s="77"/>
      <c r="S9" s="77"/>
      <c r="T9" s="5"/>
    </row>
    <row r="10" spans="1:21" ht="6.6" customHeight="1">
      <c r="A10" s="42"/>
      <c r="B10" s="86"/>
      <c r="C10" s="42"/>
      <c r="D10" s="3"/>
      <c r="E10" s="3"/>
      <c r="F10" s="3"/>
      <c r="G10" s="3"/>
      <c r="H10" s="3"/>
      <c r="I10" s="173"/>
      <c r="J10" s="3"/>
      <c r="K10" s="3"/>
      <c r="L10" s="3"/>
      <c r="M10" s="3"/>
      <c r="N10" s="3"/>
      <c r="O10" s="3"/>
      <c r="P10" s="74"/>
      <c r="Q10" s="74"/>
      <c r="R10" s="74"/>
      <c r="S10" s="74"/>
      <c r="T10" s="75"/>
    </row>
    <row r="11" spans="1:21">
      <c r="A11" s="42">
        <v>1</v>
      </c>
      <c r="B11" s="17" t="s">
        <v>74</v>
      </c>
      <c r="C11" s="42" t="s">
        <v>75</v>
      </c>
      <c r="D11" s="87">
        <v>109286</v>
      </c>
      <c r="E11" s="87">
        <v>109293</v>
      </c>
      <c r="F11" s="87">
        <v>109375</v>
      </c>
      <c r="G11" s="87">
        <v>109351</v>
      </c>
      <c r="H11" s="87">
        <v>109463</v>
      </c>
      <c r="I11" s="148">
        <v>109289</v>
      </c>
      <c r="J11" s="87"/>
      <c r="K11" s="87"/>
      <c r="L11" s="87"/>
      <c r="M11" s="87"/>
      <c r="N11" s="87"/>
      <c r="O11" s="87"/>
      <c r="P11" s="74">
        <f>SUM(D11:F11)</f>
        <v>327954</v>
      </c>
      <c r="Q11" s="74">
        <f>SUM(G11:I11)</f>
        <v>328103</v>
      </c>
      <c r="R11" s="74">
        <f>SUM(J11:L11)</f>
        <v>0</v>
      </c>
      <c r="S11" s="74">
        <f>SUM(M11:O11)</f>
        <v>0</v>
      </c>
      <c r="T11" s="75">
        <f>SUM(D11:O11)</f>
        <v>656057</v>
      </c>
    </row>
    <row r="12" spans="1:21">
      <c r="A12" s="64">
        <v>2</v>
      </c>
      <c r="B12" s="17" t="s">
        <v>76</v>
      </c>
      <c r="C12" s="42" t="s">
        <v>75</v>
      </c>
      <c r="D12" s="87">
        <v>128950023.13937999</v>
      </c>
      <c r="E12" s="87">
        <v>128548177.10202</v>
      </c>
      <c r="F12" s="87">
        <v>115524711.66500001</v>
      </c>
      <c r="G12" s="87">
        <v>86846329.144999996</v>
      </c>
      <c r="H12" s="87">
        <v>75004326.510000005</v>
      </c>
      <c r="I12" s="148">
        <v>76912929.096000001</v>
      </c>
      <c r="J12" s="87"/>
      <c r="K12" s="87"/>
      <c r="L12" s="87"/>
      <c r="M12" s="87"/>
      <c r="N12" s="87"/>
      <c r="O12" s="87"/>
      <c r="P12" s="74">
        <f>SUM(D12:F12)</f>
        <v>373022911.90640002</v>
      </c>
      <c r="Q12" s="74">
        <f>SUM(G12:I12)</f>
        <v>238763584.75099999</v>
      </c>
      <c r="R12" s="74">
        <f>SUM(J12:L12)</f>
        <v>0</v>
      </c>
      <c r="S12" s="74">
        <f>SUM(M12:O12)</f>
        <v>0</v>
      </c>
      <c r="T12" s="75">
        <f t="shared" ref="T12:T14" si="1">SUM(D12:O12)</f>
        <v>611786496.65740001</v>
      </c>
      <c r="U12" s="12"/>
    </row>
    <row r="13" spans="1:21">
      <c r="A13" s="42">
        <v>3</v>
      </c>
      <c r="B13" s="17" t="s">
        <v>77</v>
      </c>
      <c r="C13" s="42" t="s">
        <v>75</v>
      </c>
      <c r="D13" s="88">
        <v>12178372.588819999</v>
      </c>
      <c r="E13" s="87">
        <v>12111690.32512</v>
      </c>
      <c r="F13" s="88">
        <v>11340411.206559999</v>
      </c>
      <c r="G13" s="88">
        <v>8527322.9890399985</v>
      </c>
      <c r="H13" s="88">
        <v>7435785.7947199997</v>
      </c>
      <c r="I13" s="149">
        <v>7458531.1740000006</v>
      </c>
      <c r="J13" s="88"/>
      <c r="K13" s="88"/>
      <c r="L13" s="88"/>
      <c r="M13" s="88"/>
      <c r="N13" s="88"/>
      <c r="O13" s="88"/>
      <c r="P13" s="161">
        <f t="shared" ref="P13:P14" si="2">SUM(D13:F13)</f>
        <v>35630474.120499998</v>
      </c>
      <c r="Q13" s="161">
        <f t="shared" ref="Q13:Q14" si="3">SUM(G13:I13)</f>
        <v>23421639.957759999</v>
      </c>
      <c r="R13" s="161">
        <f t="shared" ref="R13:R14" si="4">SUM(J13:L13)</f>
        <v>0</v>
      </c>
      <c r="S13" s="161">
        <f t="shared" ref="S13:S14" si="5">SUM(M13:O13)</f>
        <v>0</v>
      </c>
      <c r="T13" s="162">
        <f t="shared" si="1"/>
        <v>59052114.078260005</v>
      </c>
    </row>
    <row r="14" spans="1:21">
      <c r="A14" s="64">
        <v>4</v>
      </c>
      <c r="B14" s="17" t="s">
        <v>78</v>
      </c>
      <c r="C14" s="42" t="s">
        <v>75</v>
      </c>
      <c r="D14" s="88">
        <v>658822.86</v>
      </c>
      <c r="E14" s="88">
        <v>657398.4</v>
      </c>
      <c r="F14" s="88">
        <v>658541.80000000005</v>
      </c>
      <c r="G14" s="88">
        <v>659668.6</v>
      </c>
      <c r="H14" s="88">
        <v>660925.84</v>
      </c>
      <c r="I14" s="149">
        <v>659935.05000000005</v>
      </c>
      <c r="J14" s="88"/>
      <c r="K14" s="88"/>
      <c r="L14" s="88"/>
      <c r="M14" s="88"/>
      <c r="N14" s="88"/>
      <c r="O14" s="88"/>
      <c r="P14" s="161">
        <f t="shared" si="2"/>
        <v>1974763.06</v>
      </c>
      <c r="Q14" s="161">
        <f t="shared" si="3"/>
        <v>1980529.49</v>
      </c>
      <c r="R14" s="161">
        <f t="shared" si="4"/>
        <v>0</v>
      </c>
      <c r="S14" s="161">
        <f t="shared" si="5"/>
        <v>0</v>
      </c>
      <c r="T14" s="162">
        <f t="shared" si="1"/>
        <v>3955292.55</v>
      </c>
    </row>
    <row r="15" spans="1:21" ht="6.6" customHeight="1">
      <c r="A15" s="42"/>
      <c r="B15" s="17"/>
      <c r="C15" s="42"/>
      <c r="D15" s="89"/>
      <c r="E15" s="89"/>
      <c r="F15" s="89"/>
      <c r="G15" s="89"/>
      <c r="H15" s="89"/>
      <c r="I15" s="174"/>
      <c r="J15" s="89"/>
      <c r="K15" s="89"/>
      <c r="L15" s="89"/>
      <c r="M15" s="89"/>
      <c r="N15" s="89"/>
      <c r="O15" s="89"/>
      <c r="T15" s="75"/>
    </row>
    <row r="16" spans="1:21">
      <c r="A16" s="64"/>
      <c r="B16" s="86" t="s">
        <v>79</v>
      </c>
      <c r="C16" s="42"/>
      <c r="D16" s="89"/>
      <c r="E16" s="89"/>
      <c r="F16" s="89"/>
      <c r="G16" s="89"/>
      <c r="H16" s="89"/>
      <c r="I16" s="174"/>
      <c r="J16" s="89"/>
      <c r="K16" s="89"/>
      <c r="L16" s="89"/>
      <c r="M16" s="89"/>
      <c r="N16" s="89"/>
      <c r="O16" s="89"/>
      <c r="T16" s="75"/>
    </row>
    <row r="17" spans="1:22">
      <c r="A17" s="42">
        <v>5</v>
      </c>
      <c r="B17" s="17" t="s">
        <v>80</v>
      </c>
      <c r="C17" s="42" t="str">
        <f>"("&amp;A11&amp;") - ("&amp;A31&amp;")"</f>
        <v>(1) - (16)</v>
      </c>
      <c r="D17" s="89">
        <f t="shared" ref="D17:O17" si="6">D11-D31</f>
        <v>105456</v>
      </c>
      <c r="E17" s="89">
        <f t="shared" si="6"/>
        <v>105321</v>
      </c>
      <c r="F17" s="89">
        <f t="shared" si="6"/>
        <v>105313</v>
      </c>
      <c r="G17" s="89">
        <f t="shared" si="6"/>
        <v>105147</v>
      </c>
      <c r="H17" s="89">
        <f t="shared" si="6"/>
        <v>104972</v>
      </c>
      <c r="I17" s="174">
        <f t="shared" si="6"/>
        <v>104775</v>
      </c>
      <c r="J17" s="89">
        <f t="shared" si="6"/>
        <v>0</v>
      </c>
      <c r="K17" s="89">
        <f t="shared" si="6"/>
        <v>0</v>
      </c>
      <c r="L17" s="89">
        <f t="shared" si="6"/>
        <v>0</v>
      </c>
      <c r="M17" s="89">
        <f t="shared" si="6"/>
        <v>0</v>
      </c>
      <c r="N17" s="89">
        <f t="shared" si="6"/>
        <v>0</v>
      </c>
      <c r="O17" s="89">
        <f t="shared" si="6"/>
        <v>0</v>
      </c>
      <c r="P17" s="74">
        <f>SUM(D17:F17)</f>
        <v>316090</v>
      </c>
      <c r="Q17" s="74">
        <f>SUM(G17:I17)</f>
        <v>314894</v>
      </c>
      <c r="R17" s="74">
        <f>SUM(J17:L17)</f>
        <v>0</v>
      </c>
      <c r="S17" s="74">
        <f>SUM(M17:O17)</f>
        <v>0</v>
      </c>
      <c r="T17" s="75">
        <f>SUM(D17:O17)</f>
        <v>630984</v>
      </c>
    </row>
    <row r="18" spans="1:22">
      <c r="A18" s="64">
        <v>6</v>
      </c>
      <c r="B18" s="83" t="s">
        <v>81</v>
      </c>
      <c r="C18" s="90" t="s">
        <v>82</v>
      </c>
      <c r="D18" s="91">
        <v>84.142397168322788</v>
      </c>
      <c r="E18" s="91">
        <v>68.166437572547196</v>
      </c>
      <c r="F18" s="91">
        <v>65.21781567147768</v>
      </c>
      <c r="G18" s="92">
        <v>55.829925963064518</v>
      </c>
      <c r="H18" s="92">
        <v>45.752845274792001</v>
      </c>
      <c r="I18" s="192">
        <v>42.757096877617577</v>
      </c>
      <c r="J18" s="92">
        <v>56.286864554205735</v>
      </c>
      <c r="K18" s="92">
        <v>52.62402833669379</v>
      </c>
      <c r="L18" s="92">
        <v>40.859843149324675</v>
      </c>
      <c r="M18" s="92">
        <v>51.090294304608499</v>
      </c>
      <c r="N18" s="92">
        <v>66.854274570612461</v>
      </c>
      <c r="O18" s="92">
        <v>85.348176556733023</v>
      </c>
      <c r="P18" s="70">
        <f>P19/P17</f>
        <v>72.51403660087702</v>
      </c>
      <c r="Q18" s="70">
        <f>Q19/Q17</f>
        <v>48.120928708632725</v>
      </c>
      <c r="R18" s="70" t="e">
        <f>R19/R17</f>
        <v>#DIV/0!</v>
      </c>
      <c r="S18" s="70" t="e">
        <f>S19/S17</f>
        <v>#DIV/0!</v>
      </c>
      <c r="T18" s="70">
        <f>T19/T17</f>
        <v>60.340600639552541</v>
      </c>
      <c r="U18" s="70"/>
      <c r="V18" s="135"/>
    </row>
    <row r="19" spans="1:22">
      <c r="A19" s="42">
        <v>7</v>
      </c>
      <c r="B19" s="17" t="s">
        <v>83</v>
      </c>
      <c r="C19" s="42" t="str">
        <f>"("&amp;A17&amp;") x ("&amp;A18&amp;")"</f>
        <v>(5) x (6)</v>
      </c>
      <c r="D19" s="93">
        <f t="shared" ref="D19:F19" si="7">D17*D18</f>
        <v>8873320.6357826479</v>
      </c>
      <c r="E19" s="93">
        <f t="shared" si="7"/>
        <v>7179357.3715782436</v>
      </c>
      <c r="F19" s="93">
        <f t="shared" si="7"/>
        <v>6868283.8218103293</v>
      </c>
      <c r="G19" s="93">
        <f t="shared" ref="G19:I19" si="8">G17*G18</f>
        <v>5870349.2252383446</v>
      </c>
      <c r="H19" s="93">
        <f t="shared" si="8"/>
        <v>4802767.674185466</v>
      </c>
      <c r="I19" s="109">
        <f t="shared" si="8"/>
        <v>4479874.8253523819</v>
      </c>
      <c r="J19" s="93">
        <f t="shared" ref="J19:O19" si="9">J17*J18</f>
        <v>0</v>
      </c>
      <c r="K19" s="93">
        <f t="shared" si="9"/>
        <v>0</v>
      </c>
      <c r="L19" s="93">
        <f t="shared" si="9"/>
        <v>0</v>
      </c>
      <c r="M19" s="93">
        <f t="shared" si="9"/>
        <v>0</v>
      </c>
      <c r="N19" s="93">
        <f t="shared" si="9"/>
        <v>0</v>
      </c>
      <c r="O19" s="93">
        <f t="shared" si="9"/>
        <v>0</v>
      </c>
      <c r="P19" s="71">
        <f>SUM(D19:F19)</f>
        <v>22920961.829171218</v>
      </c>
      <c r="Q19" s="71">
        <f>SUM(G19:I19)</f>
        <v>15152991.724776193</v>
      </c>
      <c r="R19" s="71">
        <f>SUM(J19:L19)</f>
        <v>0</v>
      </c>
      <c r="S19" s="71">
        <f>SUM(M19:O19)</f>
        <v>0</v>
      </c>
      <c r="T19" s="76">
        <f>SUM(D19:O19)</f>
        <v>38073953.553947419</v>
      </c>
    </row>
    <row r="20" spans="1:22" ht="6.6" customHeight="1">
      <c r="A20" s="64"/>
      <c r="B20" s="17"/>
      <c r="C20" s="42"/>
      <c r="D20" s="94"/>
      <c r="E20" s="94"/>
      <c r="F20" s="94"/>
      <c r="G20" s="94"/>
      <c r="H20" s="94"/>
      <c r="I20" s="176"/>
      <c r="J20" s="94"/>
      <c r="K20" s="94"/>
      <c r="L20" s="94"/>
      <c r="M20" s="94"/>
      <c r="N20" s="94"/>
      <c r="O20" s="94"/>
    </row>
    <row r="21" spans="1:22">
      <c r="A21" s="42">
        <v>8</v>
      </c>
      <c r="B21" s="17" t="s">
        <v>30</v>
      </c>
      <c r="C21" s="42" t="str">
        <f>"("&amp;A13&amp;") - ("&amp;A35&amp;")"</f>
        <v>(3) - (19)</v>
      </c>
      <c r="D21" s="93">
        <f t="shared" ref="D21:T21" si="10">D13-D35</f>
        <v>11852414.71882</v>
      </c>
      <c r="E21" s="93">
        <f t="shared" si="10"/>
        <v>11770462.56512</v>
      </c>
      <c r="F21" s="93">
        <f t="shared" si="10"/>
        <v>10976746.17656</v>
      </c>
      <c r="G21" s="93">
        <f t="shared" si="10"/>
        <v>8253750.6190399984</v>
      </c>
      <c r="H21" s="93">
        <f t="shared" si="10"/>
        <v>7211702.1347199995</v>
      </c>
      <c r="I21" s="109">
        <f t="shared" si="10"/>
        <v>7240420.8840000005</v>
      </c>
      <c r="J21" s="93">
        <f t="shared" si="10"/>
        <v>0</v>
      </c>
      <c r="K21" s="93">
        <f t="shared" si="10"/>
        <v>0</v>
      </c>
      <c r="L21" s="93">
        <f t="shared" si="10"/>
        <v>0</v>
      </c>
      <c r="M21" s="93">
        <f t="shared" si="10"/>
        <v>0</v>
      </c>
      <c r="N21" s="93">
        <f t="shared" si="10"/>
        <v>0</v>
      </c>
      <c r="O21" s="93">
        <f t="shared" si="10"/>
        <v>0</v>
      </c>
      <c r="P21" s="93">
        <f t="shared" si="10"/>
        <v>34599623.460500002</v>
      </c>
      <c r="Q21" s="93">
        <f t="shared" si="10"/>
        <v>22705873.637759998</v>
      </c>
      <c r="R21" s="93">
        <f t="shared" si="10"/>
        <v>0</v>
      </c>
      <c r="S21" s="93">
        <f t="shared" si="10"/>
        <v>0</v>
      </c>
      <c r="T21" s="93">
        <f t="shared" si="10"/>
        <v>57305497.098260008</v>
      </c>
    </row>
    <row r="22" spans="1:22">
      <c r="A22" s="64">
        <v>9</v>
      </c>
      <c r="B22" s="17" t="s">
        <v>20</v>
      </c>
      <c r="C22" s="42" t="str">
        <f>"("&amp;A14&amp;") - ("&amp;A36&amp;")"</f>
        <v>(4) - (20)</v>
      </c>
      <c r="D22" s="93">
        <f t="shared" ref="D22:T22" si="11">D14-D36</f>
        <v>635615.86</v>
      </c>
      <c r="E22" s="93">
        <f t="shared" si="11"/>
        <v>634456.80000000005</v>
      </c>
      <c r="F22" s="93">
        <f t="shared" si="11"/>
        <v>635005</v>
      </c>
      <c r="G22" s="93">
        <f t="shared" si="11"/>
        <v>635373.19999999995</v>
      </c>
      <c r="H22" s="93">
        <f t="shared" si="11"/>
        <v>635149.84</v>
      </c>
      <c r="I22" s="109">
        <f t="shared" si="11"/>
        <v>633834.85000000009</v>
      </c>
      <c r="J22" s="93">
        <f t="shared" si="11"/>
        <v>0</v>
      </c>
      <c r="K22" s="93">
        <f t="shared" si="11"/>
        <v>0</v>
      </c>
      <c r="L22" s="93">
        <f t="shared" si="11"/>
        <v>0</v>
      </c>
      <c r="M22" s="93">
        <f t="shared" si="11"/>
        <v>0</v>
      </c>
      <c r="N22" s="93">
        <f t="shared" si="11"/>
        <v>0</v>
      </c>
      <c r="O22" s="93">
        <f t="shared" si="11"/>
        <v>0</v>
      </c>
      <c r="P22" s="93">
        <f t="shared" si="11"/>
        <v>1905077.6600000001</v>
      </c>
      <c r="Q22" s="93">
        <f t="shared" si="11"/>
        <v>1904357.89</v>
      </c>
      <c r="R22" s="93">
        <f t="shared" si="11"/>
        <v>0</v>
      </c>
      <c r="S22" s="93">
        <f t="shared" si="11"/>
        <v>0</v>
      </c>
      <c r="T22" s="93">
        <f t="shared" si="11"/>
        <v>3809435.55</v>
      </c>
    </row>
    <row r="23" spans="1:22">
      <c r="A23" s="42">
        <v>10</v>
      </c>
      <c r="B23" s="2" t="s">
        <v>84</v>
      </c>
      <c r="C23" s="42" t="str">
        <f>"("&amp;A12&amp;") - ("&amp;A37&amp;")"</f>
        <v>(2) - (21)</v>
      </c>
      <c r="D23" s="89">
        <f t="shared" ref="D23:T23" si="12">D12-D37</f>
        <v>125589779.14537999</v>
      </c>
      <c r="E23" s="89">
        <f t="shared" si="12"/>
        <v>125053512.73502</v>
      </c>
      <c r="F23" s="89">
        <f t="shared" si="12"/>
        <v>111796386.463</v>
      </c>
      <c r="G23" s="89">
        <f t="shared" si="12"/>
        <v>84070535.493000001</v>
      </c>
      <c r="H23" s="89">
        <f t="shared" si="12"/>
        <v>72764468.539000005</v>
      </c>
      <c r="I23" s="174">
        <f t="shared" si="12"/>
        <v>74737987.305000007</v>
      </c>
      <c r="J23" s="89">
        <f t="shared" si="12"/>
        <v>0</v>
      </c>
      <c r="K23" s="89">
        <f t="shared" si="12"/>
        <v>0</v>
      </c>
      <c r="L23" s="89">
        <f t="shared" si="12"/>
        <v>0</v>
      </c>
      <c r="M23" s="89">
        <f t="shared" si="12"/>
        <v>0</v>
      </c>
      <c r="N23" s="89">
        <f t="shared" si="12"/>
        <v>0</v>
      </c>
      <c r="O23" s="89">
        <f t="shared" si="12"/>
        <v>0</v>
      </c>
      <c r="P23" s="89">
        <f t="shared" si="12"/>
        <v>362439678.3434</v>
      </c>
      <c r="Q23" s="89">
        <f t="shared" si="12"/>
        <v>231572991.33699998</v>
      </c>
      <c r="R23" s="89">
        <f t="shared" si="12"/>
        <v>0</v>
      </c>
      <c r="S23" s="89">
        <f t="shared" si="12"/>
        <v>0</v>
      </c>
      <c r="T23" s="89">
        <f t="shared" si="12"/>
        <v>594012669.68040001</v>
      </c>
    </row>
    <row r="24" spans="1:22">
      <c r="A24" s="64">
        <v>11</v>
      </c>
      <c r="B24" s="17" t="s">
        <v>85</v>
      </c>
      <c r="C24" s="42" t="s">
        <v>86</v>
      </c>
      <c r="D24" s="95">
        <v>2.4989999999999998E-2</v>
      </c>
      <c r="E24" s="95">
        <v>2.4989999999999998E-2</v>
      </c>
      <c r="F24" s="95">
        <v>2.4989999999999998E-2</v>
      </c>
      <c r="G24" s="95">
        <v>2.4989999999999998E-2</v>
      </c>
      <c r="H24" s="95">
        <v>2.4989999999999998E-2</v>
      </c>
      <c r="I24" s="177">
        <v>2.4989999999999998E-2</v>
      </c>
      <c r="J24" s="95">
        <v>2.4989999999999998E-2</v>
      </c>
      <c r="K24" s="95">
        <v>2.4989999999999998E-2</v>
      </c>
      <c r="L24" s="95">
        <v>2.4989999999999998E-2</v>
      </c>
      <c r="M24" s="95">
        <v>2.4989999999999998E-2</v>
      </c>
      <c r="N24" s="95">
        <v>2.4989999999999998E-2</v>
      </c>
      <c r="O24" s="95">
        <v>2.4989999999999998E-2</v>
      </c>
      <c r="P24" s="95">
        <f t="shared" ref="P24:T24" si="13">O24</f>
        <v>2.4989999999999998E-2</v>
      </c>
      <c r="Q24" s="95">
        <f t="shared" si="13"/>
        <v>2.4989999999999998E-2</v>
      </c>
      <c r="R24" s="95">
        <f t="shared" si="13"/>
        <v>2.4989999999999998E-2</v>
      </c>
      <c r="S24" s="95">
        <f t="shared" si="13"/>
        <v>2.4989999999999998E-2</v>
      </c>
      <c r="T24" s="95">
        <f t="shared" si="13"/>
        <v>2.4989999999999998E-2</v>
      </c>
      <c r="U24" s="135"/>
    </row>
    <row r="25" spans="1:22">
      <c r="A25" s="42">
        <v>12</v>
      </c>
      <c r="B25" s="17" t="s">
        <v>87</v>
      </c>
      <c r="C25" s="42" t="str">
        <f>"("&amp;A23&amp;") x ("&amp;A24&amp;")"</f>
        <v>(10) x (11)</v>
      </c>
      <c r="D25" s="93">
        <f t="shared" ref="D25:F25" si="14">D23*D24</f>
        <v>3138488.5808430458</v>
      </c>
      <c r="E25" s="93">
        <f t="shared" si="14"/>
        <v>3125087.2832481493</v>
      </c>
      <c r="F25" s="93">
        <f t="shared" si="14"/>
        <v>2793791.6977103697</v>
      </c>
      <c r="G25" s="93">
        <f t="shared" ref="G25:I25" si="15">G23*G24</f>
        <v>2100922.6819700697</v>
      </c>
      <c r="H25" s="93">
        <f t="shared" si="15"/>
        <v>1818384.0687896099</v>
      </c>
      <c r="I25" s="109">
        <f t="shared" si="15"/>
        <v>1867702.30275195</v>
      </c>
      <c r="J25" s="93">
        <f t="shared" ref="J25:O25" si="16">J23*J24</f>
        <v>0</v>
      </c>
      <c r="K25" s="93">
        <f t="shared" si="16"/>
        <v>0</v>
      </c>
      <c r="L25" s="93">
        <f t="shared" si="16"/>
        <v>0</v>
      </c>
      <c r="M25" s="93">
        <f t="shared" si="16"/>
        <v>0</v>
      </c>
      <c r="N25" s="93">
        <f t="shared" si="16"/>
        <v>0</v>
      </c>
      <c r="O25" s="93">
        <f t="shared" si="16"/>
        <v>0</v>
      </c>
      <c r="P25" s="93">
        <f t="shared" ref="P25:T25" si="17">P23*P24</f>
        <v>9057367.5618015658</v>
      </c>
      <c r="Q25" s="93">
        <f t="shared" si="17"/>
        <v>5787009.0535116289</v>
      </c>
      <c r="R25" s="93">
        <f t="shared" si="17"/>
        <v>0</v>
      </c>
      <c r="S25" s="93">
        <f t="shared" si="17"/>
        <v>0</v>
      </c>
      <c r="T25" s="93">
        <f t="shared" si="17"/>
        <v>14844376.615313195</v>
      </c>
    </row>
    <row r="26" spans="1:22">
      <c r="A26" s="64">
        <v>13</v>
      </c>
      <c r="B26" s="17" t="s">
        <v>88</v>
      </c>
      <c r="C26" s="42" t="str">
        <f>"("&amp;A21&amp;") - ("&amp;A22&amp;") -("&amp;A25&amp;")"</f>
        <v>(8) - (9) -(12)</v>
      </c>
      <c r="D26" s="93">
        <f t="shared" ref="D26:F26" si="18">D21-D22-D25</f>
        <v>8078310.2779769544</v>
      </c>
      <c r="E26" s="93">
        <f t="shared" si="18"/>
        <v>8010918.4818718508</v>
      </c>
      <c r="F26" s="93">
        <f t="shared" si="18"/>
        <v>7547949.4788496299</v>
      </c>
      <c r="G26" s="93">
        <f t="shared" ref="G26:I26" si="19">G21-G22-G25</f>
        <v>5517454.737069929</v>
      </c>
      <c r="H26" s="93">
        <f t="shared" si="19"/>
        <v>4758168.2259303899</v>
      </c>
      <c r="I26" s="109">
        <f t="shared" si="19"/>
        <v>4738883.73124805</v>
      </c>
      <c r="J26" s="93">
        <f t="shared" ref="J26:O26" si="20">J21-J22-J25</f>
        <v>0</v>
      </c>
      <c r="K26" s="93">
        <f t="shared" si="20"/>
        <v>0</v>
      </c>
      <c r="L26" s="93">
        <f t="shared" si="20"/>
        <v>0</v>
      </c>
      <c r="M26" s="93">
        <f t="shared" si="20"/>
        <v>0</v>
      </c>
      <c r="N26" s="93">
        <f t="shared" si="20"/>
        <v>0</v>
      </c>
      <c r="O26" s="93">
        <f t="shared" si="20"/>
        <v>0</v>
      </c>
      <c r="P26" s="71">
        <f>SUM(D26:F26)</f>
        <v>23637178.238698434</v>
      </c>
      <c r="Q26" s="71">
        <f>SUM(G26:I26)</f>
        <v>15014506.694248371</v>
      </c>
      <c r="R26" s="71">
        <f>SUM(J26:L26)</f>
        <v>0</v>
      </c>
      <c r="S26" s="71">
        <f>SUM(M26:O26)</f>
        <v>0</v>
      </c>
      <c r="T26" s="76">
        <f>SUM(D26:O26)</f>
        <v>38651684.932946809</v>
      </c>
    </row>
    <row r="27" spans="1:22">
      <c r="A27" s="42">
        <v>14</v>
      </c>
      <c r="B27" s="3" t="s">
        <v>21</v>
      </c>
      <c r="C27" s="42"/>
      <c r="D27" s="96">
        <f t="shared" ref="D27:F27" si="21">D26/D17</f>
        <v>76.603609827576946</v>
      </c>
      <c r="E27" s="96">
        <f t="shared" si="21"/>
        <v>76.061929547496234</v>
      </c>
      <c r="F27" s="96">
        <f t="shared" si="21"/>
        <v>71.671583554258547</v>
      </c>
      <c r="G27" s="96">
        <f t="shared" ref="G27:I27" si="22">G26/G17</f>
        <v>52.473724757434155</v>
      </c>
      <c r="H27" s="96">
        <f t="shared" si="22"/>
        <v>45.327975326090673</v>
      </c>
      <c r="I27" s="178">
        <f t="shared" si="22"/>
        <v>45.229145609621092</v>
      </c>
      <c r="J27" s="96" t="e">
        <f t="shared" ref="J27:O27" si="23">J26/J17</f>
        <v>#DIV/0!</v>
      </c>
      <c r="K27" s="96" t="e">
        <f t="shared" si="23"/>
        <v>#DIV/0!</v>
      </c>
      <c r="L27" s="96" t="e">
        <f t="shared" si="23"/>
        <v>#DIV/0!</v>
      </c>
      <c r="M27" s="96" t="e">
        <f t="shared" si="23"/>
        <v>#DIV/0!</v>
      </c>
      <c r="N27" s="96" t="e">
        <f t="shared" si="23"/>
        <v>#DIV/0!</v>
      </c>
      <c r="O27" s="96" t="e">
        <f t="shared" si="23"/>
        <v>#DIV/0!</v>
      </c>
      <c r="P27" s="78">
        <f>P26/P17</f>
        <v>74.779898885439067</v>
      </c>
      <c r="Q27" s="78">
        <f>Q26/Q17</f>
        <v>47.681145700611545</v>
      </c>
      <c r="R27" s="78" t="e">
        <f>R26/R17</f>
        <v>#DIV/0!</v>
      </c>
      <c r="S27" s="78" t="e">
        <f>S26/S17</f>
        <v>#DIV/0!</v>
      </c>
      <c r="T27" s="78">
        <f>T26/T17</f>
        <v>61.256204488460575</v>
      </c>
      <c r="U27" s="135"/>
      <c r="V27" s="135"/>
    </row>
    <row r="28" spans="1:22">
      <c r="A28" s="64">
        <v>15</v>
      </c>
      <c r="B28" s="17" t="s">
        <v>89</v>
      </c>
      <c r="C28" s="42" t="str">
        <f>"("&amp;A$19&amp;") - ("&amp;A26&amp;")"</f>
        <v>(7) - (13)</v>
      </c>
      <c r="D28" s="93">
        <f t="shared" ref="D28:F28" si="24">D19-D26</f>
        <v>795010.35780569352</v>
      </c>
      <c r="E28" s="93">
        <f t="shared" si="24"/>
        <v>-831561.11029360723</v>
      </c>
      <c r="F28" s="93">
        <f t="shared" si="24"/>
        <v>-679665.65703930054</v>
      </c>
      <c r="G28" s="93">
        <f t="shared" ref="G28:I28" si="25">G19-G26</f>
        <v>352894.48816841561</v>
      </c>
      <c r="H28" s="93">
        <f t="shared" si="25"/>
        <v>44599.448255076073</v>
      </c>
      <c r="I28" s="109">
        <f t="shared" si="25"/>
        <v>-259008.90589566808</v>
      </c>
      <c r="J28" s="93">
        <f t="shared" ref="J28:O28" si="26">J19-J26</f>
        <v>0</v>
      </c>
      <c r="K28" s="93">
        <f t="shared" si="26"/>
        <v>0</v>
      </c>
      <c r="L28" s="93">
        <f t="shared" si="26"/>
        <v>0</v>
      </c>
      <c r="M28" s="93">
        <f t="shared" si="26"/>
        <v>0</v>
      </c>
      <c r="N28" s="93">
        <f t="shared" si="26"/>
        <v>0</v>
      </c>
      <c r="O28" s="93">
        <f t="shared" si="26"/>
        <v>0</v>
      </c>
      <c r="P28" s="71">
        <f>SUM(D28:F28)</f>
        <v>-716216.40952721424</v>
      </c>
      <c r="Q28" s="71">
        <f>SUM(G28:I28)</f>
        <v>138485.0305278236</v>
      </c>
      <c r="R28" s="71">
        <f>SUM(J28:L28)</f>
        <v>0</v>
      </c>
      <c r="S28" s="71">
        <f>SUM(M28:O28)</f>
        <v>0</v>
      </c>
      <c r="T28" s="76">
        <f>SUM(D28:O28)</f>
        <v>-577731.37899939064</v>
      </c>
    </row>
    <row r="29" spans="1:22" ht="7.15" customHeight="1">
      <c r="A29" s="42"/>
      <c r="B29" s="17"/>
      <c r="C29" s="42"/>
      <c r="D29" s="93"/>
      <c r="E29" s="93"/>
      <c r="F29" s="93"/>
      <c r="G29" s="93"/>
      <c r="H29" s="93"/>
      <c r="I29" s="109"/>
      <c r="J29" s="93"/>
      <c r="K29" s="93"/>
      <c r="L29" s="93"/>
      <c r="M29" s="93"/>
      <c r="N29" s="93"/>
      <c r="O29" s="93"/>
      <c r="P29" s="71"/>
      <c r="Q29" s="71"/>
      <c r="R29" s="71"/>
      <c r="S29" s="71"/>
      <c r="T29" s="76"/>
    </row>
    <row r="30" spans="1:22">
      <c r="A30" s="42"/>
      <c r="B30" s="86" t="s">
        <v>90</v>
      </c>
      <c r="C30" s="42"/>
      <c r="D30" s="93"/>
      <c r="E30" s="93"/>
      <c r="F30" s="93"/>
      <c r="G30" s="93"/>
      <c r="H30" s="93"/>
      <c r="I30" s="109"/>
      <c r="J30" s="93"/>
      <c r="K30" s="93"/>
      <c r="L30" s="93"/>
      <c r="M30" s="93"/>
      <c r="N30" s="93"/>
      <c r="O30" s="93"/>
    </row>
    <row r="31" spans="1:22">
      <c r="A31" s="64">
        <v>16</v>
      </c>
      <c r="B31" s="17" t="s">
        <v>91</v>
      </c>
      <c r="C31" s="42" t="s">
        <v>75</v>
      </c>
      <c r="D31" s="87">
        <v>3830</v>
      </c>
      <c r="E31" s="87">
        <v>3972</v>
      </c>
      <c r="F31" s="87">
        <v>4062</v>
      </c>
      <c r="G31" s="87">
        <v>4204</v>
      </c>
      <c r="H31" s="87">
        <v>4491</v>
      </c>
      <c r="I31" s="148">
        <v>4514</v>
      </c>
      <c r="J31" s="87"/>
      <c r="K31" s="87"/>
      <c r="L31" s="87"/>
      <c r="M31" s="87"/>
      <c r="N31" s="87"/>
      <c r="O31" s="87"/>
      <c r="P31" s="74">
        <f>SUM(D31:F31)</f>
        <v>11864</v>
      </c>
      <c r="Q31" s="74">
        <f>SUM(G31:I31)</f>
        <v>13209</v>
      </c>
      <c r="R31" s="74">
        <f>SUM(J31:L31)</f>
        <v>0</v>
      </c>
      <c r="S31" s="74">
        <f>SUM(M31:O31)</f>
        <v>0</v>
      </c>
      <c r="T31" s="75">
        <f>SUM(D31:O31)</f>
        <v>25073</v>
      </c>
    </row>
    <row r="32" spans="1:22">
      <c r="A32" s="42">
        <v>17</v>
      </c>
      <c r="B32" s="83" t="s">
        <v>81</v>
      </c>
      <c r="C32" s="90" t="s">
        <v>82</v>
      </c>
      <c r="D32" s="91">
        <v>50.367980490615054</v>
      </c>
      <c r="E32" s="91">
        <v>40.804706227948607</v>
      </c>
      <c r="F32" s="91">
        <v>39.039649189103251</v>
      </c>
      <c r="G32" s="91">
        <v>33.420020302901115</v>
      </c>
      <c r="H32" s="91">
        <v>27.387838898633412</v>
      </c>
      <c r="I32" s="179">
        <v>25.594571747926679</v>
      </c>
      <c r="J32" s="91">
        <v>33.693545598335341</v>
      </c>
      <c r="K32" s="91">
        <v>31.500956970572609</v>
      </c>
      <c r="L32" s="91">
        <v>24.458867964954596</v>
      </c>
      <c r="M32" s="91">
        <v>30.582857553327255</v>
      </c>
      <c r="N32" s="91">
        <v>40.019240128738915</v>
      </c>
      <c r="O32" s="91">
        <v>51.089764926943154</v>
      </c>
      <c r="P32" s="70">
        <f>P33/P31</f>
        <v>43.287652850860162</v>
      </c>
      <c r="Q32" s="70">
        <f>Q33/Q31</f>
        <v>28.694863102225753</v>
      </c>
      <c r="R32" s="70" t="e">
        <f>R33/R31</f>
        <v>#DIV/0!</v>
      </c>
      <c r="S32" s="70" t="e">
        <f>S33/S31</f>
        <v>#DIV/0!</v>
      </c>
      <c r="T32" s="70">
        <f>T33/T31</f>
        <v>35.599854829494078</v>
      </c>
    </row>
    <row r="33" spans="1:27">
      <c r="A33" s="64">
        <v>18</v>
      </c>
      <c r="B33" s="17" t="s">
        <v>83</v>
      </c>
      <c r="C33" s="42" t="str">
        <f>"("&amp;A31&amp;") x ("&amp;A32&amp;")"</f>
        <v>(16) x (17)</v>
      </c>
      <c r="D33" s="93">
        <f t="shared" ref="D33:F33" si="27">D31*D32</f>
        <v>192909.36527905567</v>
      </c>
      <c r="E33" s="93">
        <f t="shared" si="27"/>
        <v>162076.29313741188</v>
      </c>
      <c r="F33" s="93">
        <f t="shared" si="27"/>
        <v>158579.05500613741</v>
      </c>
      <c r="G33" s="93">
        <f t="shared" ref="G33:I33" si="28">G31*G32</f>
        <v>140497.76535339627</v>
      </c>
      <c r="H33" s="93">
        <f t="shared" si="28"/>
        <v>122998.78449376265</v>
      </c>
      <c r="I33" s="109">
        <f t="shared" si="28"/>
        <v>115533.89687014103</v>
      </c>
      <c r="J33" s="93">
        <f t="shared" ref="J33:O33" si="29">J31*J32</f>
        <v>0</v>
      </c>
      <c r="K33" s="93">
        <f t="shared" si="29"/>
        <v>0</v>
      </c>
      <c r="L33" s="93">
        <f t="shared" si="29"/>
        <v>0</v>
      </c>
      <c r="M33" s="93">
        <f t="shared" si="29"/>
        <v>0</v>
      </c>
      <c r="N33" s="93">
        <f t="shared" si="29"/>
        <v>0</v>
      </c>
      <c r="O33" s="93">
        <f t="shared" si="29"/>
        <v>0</v>
      </c>
      <c r="P33" s="71">
        <f>SUM(D33:F33)</f>
        <v>513564.71342260495</v>
      </c>
      <c r="Q33" s="71">
        <f>SUM(G33:I33)</f>
        <v>379030.44671729999</v>
      </c>
      <c r="R33" s="71">
        <f>SUM(J33:L33)</f>
        <v>0</v>
      </c>
      <c r="S33" s="71">
        <f>SUM(M33:O33)</f>
        <v>0</v>
      </c>
      <c r="T33" s="76">
        <f>SUM(D33:O33)</f>
        <v>892595.16013990494</v>
      </c>
    </row>
    <row r="34" spans="1:27" ht="7.15" customHeight="1">
      <c r="A34" s="42"/>
      <c r="B34" s="17"/>
      <c r="C34" s="42"/>
      <c r="D34" s="94"/>
      <c r="E34" s="94"/>
      <c r="F34" s="94"/>
      <c r="G34" s="94"/>
      <c r="H34" s="94"/>
      <c r="I34" s="176"/>
      <c r="J34" s="94"/>
      <c r="K34" s="94"/>
      <c r="L34" s="94"/>
      <c r="M34" s="94"/>
      <c r="N34" s="94"/>
      <c r="O34" s="94"/>
      <c r="P34" s="71"/>
      <c r="Q34" s="71"/>
      <c r="R34" s="71"/>
      <c r="S34" s="71"/>
      <c r="T34" s="76"/>
    </row>
    <row r="35" spans="1:27">
      <c r="A35" s="64">
        <v>19</v>
      </c>
      <c r="B35" s="17" t="s">
        <v>30</v>
      </c>
      <c r="C35" s="42" t="s">
        <v>75</v>
      </c>
      <c r="D35" s="88">
        <v>325957.87</v>
      </c>
      <c r="E35" s="88">
        <v>341227.76</v>
      </c>
      <c r="F35" s="88">
        <v>363665.02999999997</v>
      </c>
      <c r="G35" s="88">
        <v>273572.37</v>
      </c>
      <c r="H35" s="88">
        <v>224083.66</v>
      </c>
      <c r="I35" s="149">
        <v>218110.29</v>
      </c>
      <c r="J35" s="88"/>
      <c r="K35" s="88"/>
      <c r="L35" s="88"/>
      <c r="M35" s="88"/>
      <c r="N35" s="88"/>
      <c r="O35" s="88"/>
      <c r="P35" s="71">
        <f>SUM(D35:F35)</f>
        <v>1030850.6599999999</v>
      </c>
      <c r="Q35" s="71">
        <f t="shared" ref="Q35:Q37" si="30">SUM(G35:I35)</f>
        <v>715766.32000000007</v>
      </c>
      <c r="R35" s="71">
        <f t="shared" ref="R35:R37" si="31">SUM(J35:L35)</f>
        <v>0</v>
      </c>
      <c r="S35" s="71">
        <f>SUM(M35:O35)</f>
        <v>0</v>
      </c>
      <c r="T35" s="76">
        <f t="shared" ref="T35:T37" si="32">SUM(D35:O35)</f>
        <v>1746616.9799999997</v>
      </c>
    </row>
    <row r="36" spans="1:27">
      <c r="A36" s="42">
        <v>20</v>
      </c>
      <c r="B36" s="17" t="s">
        <v>20</v>
      </c>
      <c r="C36" s="42" t="s">
        <v>75</v>
      </c>
      <c r="D36" s="88">
        <v>23207</v>
      </c>
      <c r="E36" s="88">
        <v>22941.599999999999</v>
      </c>
      <c r="F36" s="88">
        <v>23536.799999999996</v>
      </c>
      <c r="G36" s="88">
        <v>24295.399999999998</v>
      </c>
      <c r="H36" s="88">
        <v>25776</v>
      </c>
      <c r="I36" s="149">
        <v>26100.199999999997</v>
      </c>
      <c r="J36" s="88"/>
      <c r="K36" s="88"/>
      <c r="L36" s="88"/>
      <c r="M36" s="88"/>
      <c r="N36" s="88"/>
      <c r="O36" s="88"/>
      <c r="P36" s="71">
        <f t="shared" ref="P36:P37" si="33">SUM(D36:F36)</f>
        <v>69685.399999999994</v>
      </c>
      <c r="Q36" s="71">
        <f t="shared" si="30"/>
        <v>76171.599999999991</v>
      </c>
      <c r="R36" s="71">
        <f t="shared" si="31"/>
        <v>0</v>
      </c>
      <c r="S36" s="71">
        <f t="shared" ref="S36:S37" si="34">SUM(M36:O36)</f>
        <v>0</v>
      </c>
      <c r="T36" s="76">
        <f t="shared" si="32"/>
        <v>145857</v>
      </c>
    </row>
    <row r="37" spans="1:27">
      <c r="A37" s="64">
        <v>21</v>
      </c>
      <c r="B37" s="2" t="s">
        <v>84</v>
      </c>
      <c r="C37" s="42" t="s">
        <v>75</v>
      </c>
      <c r="D37" s="87">
        <v>3360243.9939999999</v>
      </c>
      <c r="E37" s="87">
        <v>3494664.3670000001</v>
      </c>
      <c r="F37" s="87">
        <v>3728325.202</v>
      </c>
      <c r="G37" s="87">
        <v>2775793.6519999998</v>
      </c>
      <c r="H37" s="87">
        <v>2239857.9709999999</v>
      </c>
      <c r="I37" s="148">
        <v>2174941.7910000002</v>
      </c>
      <c r="J37" s="87"/>
      <c r="K37" s="87"/>
      <c r="L37" s="87"/>
      <c r="M37" s="87"/>
      <c r="N37" s="87"/>
      <c r="O37" s="87"/>
      <c r="P37" s="158">
        <f t="shared" si="33"/>
        <v>10583233.562999999</v>
      </c>
      <c r="Q37" s="158">
        <f t="shared" si="30"/>
        <v>7190593.4139999999</v>
      </c>
      <c r="R37" s="158">
        <f t="shared" si="31"/>
        <v>0</v>
      </c>
      <c r="S37" s="158">
        <f t="shared" si="34"/>
        <v>0</v>
      </c>
      <c r="T37" s="159">
        <f t="shared" si="32"/>
        <v>17773826.977000002</v>
      </c>
    </row>
    <row r="38" spans="1:27">
      <c r="A38" s="42">
        <v>22</v>
      </c>
      <c r="B38" s="17" t="s">
        <v>85</v>
      </c>
      <c r="C38" s="42" t="s">
        <v>86</v>
      </c>
      <c r="D38" s="95">
        <v>2.4989999999999998E-2</v>
      </c>
      <c r="E38" s="95">
        <v>2.4989999999999998E-2</v>
      </c>
      <c r="F38" s="95">
        <v>2.4989999999999998E-2</v>
      </c>
      <c r="G38" s="95">
        <v>2.4989999999999998E-2</v>
      </c>
      <c r="H38" s="95">
        <v>2.4989999999999998E-2</v>
      </c>
      <c r="I38" s="177">
        <v>2.4989999999999998E-2</v>
      </c>
      <c r="J38" s="95">
        <v>2.4989999999999998E-2</v>
      </c>
      <c r="K38" s="95">
        <v>2.4989999999999998E-2</v>
      </c>
      <c r="L38" s="95">
        <v>2.4989999999999998E-2</v>
      </c>
      <c r="M38" s="95">
        <v>2.4989999999999998E-2</v>
      </c>
      <c r="N38" s="95">
        <v>2.4989999999999998E-2</v>
      </c>
      <c r="O38" s="95">
        <v>2.4989999999999998E-2</v>
      </c>
    </row>
    <row r="39" spans="1:27">
      <c r="A39" s="64">
        <v>23</v>
      </c>
      <c r="B39" s="17" t="s">
        <v>87</v>
      </c>
      <c r="C39" s="42" t="str">
        <f>"("&amp;A37&amp;") x ("&amp;A38&amp;")"</f>
        <v>(21) x (22)</v>
      </c>
      <c r="D39" s="93">
        <f t="shared" ref="D39:F39" si="35">D37*D38</f>
        <v>83972.497410059994</v>
      </c>
      <c r="E39" s="93">
        <f t="shared" si="35"/>
        <v>87331.662531330003</v>
      </c>
      <c r="F39" s="93">
        <f t="shared" si="35"/>
        <v>93170.84679797999</v>
      </c>
      <c r="G39" s="93">
        <f t="shared" ref="G39:I39" si="36">G37*G38</f>
        <v>69367.083363479993</v>
      </c>
      <c r="H39" s="93">
        <f t="shared" si="36"/>
        <v>55974.050695289996</v>
      </c>
      <c r="I39" s="109">
        <f t="shared" si="36"/>
        <v>54351.795357089999</v>
      </c>
      <c r="J39" s="93">
        <f t="shared" ref="J39:O39" si="37">J37*J38</f>
        <v>0</v>
      </c>
      <c r="K39" s="93">
        <f t="shared" si="37"/>
        <v>0</v>
      </c>
      <c r="L39" s="93">
        <f t="shared" si="37"/>
        <v>0</v>
      </c>
      <c r="M39" s="93">
        <f t="shared" si="37"/>
        <v>0</v>
      </c>
      <c r="N39" s="93">
        <f t="shared" si="37"/>
        <v>0</v>
      </c>
      <c r="O39" s="93">
        <f t="shared" si="37"/>
        <v>0</v>
      </c>
    </row>
    <row r="40" spans="1:27">
      <c r="A40" s="42">
        <v>24</v>
      </c>
      <c r="B40" s="97" t="s">
        <v>92</v>
      </c>
      <c r="C40" s="42" t="s">
        <v>93</v>
      </c>
      <c r="D40" s="95">
        <v>2.6280000000000001E-2</v>
      </c>
      <c r="E40" s="95">
        <v>2.6280000000000001E-2</v>
      </c>
      <c r="F40" s="95">
        <v>2.6280000000000001E-2</v>
      </c>
      <c r="G40" s="95">
        <v>2.6280000000000001E-2</v>
      </c>
      <c r="H40" s="95">
        <v>2.6280000000000001E-2</v>
      </c>
      <c r="I40" s="177">
        <v>2.6280000000000001E-2</v>
      </c>
      <c r="J40" s="95">
        <v>2.6280000000000001E-2</v>
      </c>
      <c r="K40" s="95">
        <v>2.6280000000000001E-2</v>
      </c>
      <c r="L40" s="95">
        <v>2.6280000000000001E-2</v>
      </c>
      <c r="M40" s="95">
        <v>2.6280000000000001E-2</v>
      </c>
      <c r="N40" s="95">
        <v>2.6280000000000001E-2</v>
      </c>
      <c r="O40" s="95">
        <v>2.6280000000000001E-2</v>
      </c>
    </row>
    <row r="41" spans="1:27">
      <c r="A41" s="64">
        <v>25</v>
      </c>
      <c r="B41" s="97" t="s">
        <v>94</v>
      </c>
      <c r="C41" s="42" t="str">
        <f>"("&amp;A39&amp;") x ("&amp;A40&amp;")"</f>
        <v>(23) x (24)</v>
      </c>
      <c r="D41" s="93">
        <f t="shared" ref="D41:F41" si="38">D37*D40</f>
        <v>88307.212162320007</v>
      </c>
      <c r="E41" s="93">
        <f t="shared" si="38"/>
        <v>91839.77956476</v>
      </c>
      <c r="F41" s="93">
        <f t="shared" si="38"/>
        <v>97980.386308560002</v>
      </c>
      <c r="G41" s="93">
        <f t="shared" ref="G41:I41" si="39">G37*G40</f>
        <v>72947.857174559991</v>
      </c>
      <c r="H41" s="93">
        <f t="shared" si="39"/>
        <v>58863.467477880004</v>
      </c>
      <c r="I41" s="109">
        <f t="shared" si="39"/>
        <v>57157.470267480006</v>
      </c>
      <c r="J41" s="93">
        <f t="shared" ref="J41:O41" si="40">J37*J40</f>
        <v>0</v>
      </c>
      <c r="K41" s="93">
        <f t="shared" si="40"/>
        <v>0</v>
      </c>
      <c r="L41" s="93">
        <f t="shared" si="40"/>
        <v>0</v>
      </c>
      <c r="M41" s="93">
        <f t="shared" si="40"/>
        <v>0</v>
      </c>
      <c r="N41" s="93">
        <f t="shared" si="40"/>
        <v>0</v>
      </c>
      <c r="O41" s="93">
        <f t="shared" si="40"/>
        <v>0</v>
      </c>
    </row>
    <row r="42" spans="1:27">
      <c r="A42" s="42">
        <v>26</v>
      </c>
      <c r="B42" s="17" t="s">
        <v>88</v>
      </c>
      <c r="C42" s="42" t="str">
        <f>"("&amp;A35&amp;") - ("&amp;A36&amp;") - ("&amp;A39&amp;") - ("&amp;A41&amp;")"</f>
        <v>(19) - (20) - (23) - (25)</v>
      </c>
      <c r="D42" s="93">
        <f t="shared" ref="D42:F42" si="41">D35-D36-D39-D41</f>
        <v>130471.16042761999</v>
      </c>
      <c r="E42" s="93">
        <f t="shared" si="41"/>
        <v>139114.71790391003</v>
      </c>
      <c r="F42" s="93">
        <f t="shared" si="41"/>
        <v>148976.99689345999</v>
      </c>
      <c r="G42" s="93">
        <f t="shared" ref="G42:I42" si="42">G35-G36-G39-G41</f>
        <v>106962.02946196002</v>
      </c>
      <c r="H42" s="93">
        <f t="shared" si="42"/>
        <v>83470.141826829989</v>
      </c>
      <c r="I42" s="109">
        <f t="shared" si="42"/>
        <v>80500.824375430006</v>
      </c>
      <c r="J42" s="93">
        <f t="shared" ref="J42:O42" si="43">J35-J36-J39-J41</f>
        <v>0</v>
      </c>
      <c r="K42" s="93">
        <f t="shared" si="43"/>
        <v>0</v>
      </c>
      <c r="L42" s="93">
        <f t="shared" si="43"/>
        <v>0</v>
      </c>
      <c r="M42" s="93">
        <f t="shared" si="43"/>
        <v>0</v>
      </c>
      <c r="N42" s="93">
        <f t="shared" si="43"/>
        <v>0</v>
      </c>
      <c r="O42" s="93">
        <f t="shared" si="43"/>
        <v>0</v>
      </c>
      <c r="P42" s="71">
        <f>SUM(D42:F42)</f>
        <v>418562.87522499001</v>
      </c>
      <c r="Q42" s="71">
        <f>SUM(G42:I42)</f>
        <v>270932.99566422001</v>
      </c>
      <c r="R42" s="71">
        <f>SUM(J42:L42)</f>
        <v>0</v>
      </c>
      <c r="S42" s="71">
        <f>SUM(M42:O42)</f>
        <v>0</v>
      </c>
      <c r="T42" s="76">
        <f>SUM(D42:O42)</f>
        <v>689495.87088921003</v>
      </c>
    </row>
    <row r="43" spans="1:27">
      <c r="A43" s="64">
        <v>27</v>
      </c>
      <c r="B43" s="3" t="s">
        <v>21</v>
      </c>
      <c r="C43" s="42"/>
      <c r="D43" s="96">
        <f t="shared" ref="D43:F43" si="44">D42/D31</f>
        <v>34.065577135148821</v>
      </c>
      <c r="E43" s="96">
        <f t="shared" si="44"/>
        <v>35.023846400782986</v>
      </c>
      <c r="F43" s="96">
        <f t="shared" si="44"/>
        <v>36.675774715278187</v>
      </c>
      <c r="G43" s="96">
        <f t="shared" ref="G43:I43" si="45">G42/G31</f>
        <v>25.442918520922934</v>
      </c>
      <c r="H43" s="96">
        <f t="shared" si="45"/>
        <v>18.58609259114451</v>
      </c>
      <c r="I43" s="178">
        <f t="shared" si="45"/>
        <v>17.833589804038549</v>
      </c>
      <c r="J43" s="96" t="e">
        <f t="shared" ref="J43:O43" si="46">J42/J31</f>
        <v>#DIV/0!</v>
      </c>
      <c r="K43" s="96" t="e">
        <f t="shared" si="46"/>
        <v>#DIV/0!</v>
      </c>
      <c r="L43" s="96" t="e">
        <f t="shared" si="46"/>
        <v>#DIV/0!</v>
      </c>
      <c r="M43" s="96" t="e">
        <f t="shared" si="46"/>
        <v>#DIV/0!</v>
      </c>
      <c r="N43" s="96" t="e">
        <f t="shared" si="46"/>
        <v>#DIV/0!</v>
      </c>
      <c r="O43" s="96" t="e">
        <f t="shared" si="46"/>
        <v>#DIV/0!</v>
      </c>
      <c r="P43" s="78">
        <f>P42/P31</f>
        <v>35.280080514581087</v>
      </c>
      <c r="Q43" s="78">
        <f t="shared" ref="Q43:T43" si="47">Q42/Q31</f>
        <v>20.511242006527368</v>
      </c>
      <c r="R43" s="78" t="e">
        <f>R42/R31</f>
        <v>#DIV/0!</v>
      </c>
      <c r="S43" s="78" t="e">
        <f t="shared" si="47"/>
        <v>#DIV/0!</v>
      </c>
      <c r="T43" s="78">
        <f t="shared" si="47"/>
        <v>27.499536189893909</v>
      </c>
    </row>
    <row r="44" spans="1:27">
      <c r="A44" s="42">
        <v>28</v>
      </c>
      <c r="B44" s="17" t="s">
        <v>95</v>
      </c>
      <c r="C44" s="42" t="str">
        <f>"("&amp;A$19&amp;") - ("&amp;A42&amp;")"</f>
        <v>(7) - (26)</v>
      </c>
      <c r="D44" s="93">
        <f>D33-D42</f>
        <v>62438.204851435672</v>
      </c>
      <c r="E44" s="93">
        <f t="shared" ref="E44:F44" si="48">E33-E42</f>
        <v>22961.575233501848</v>
      </c>
      <c r="F44" s="93">
        <f t="shared" si="48"/>
        <v>9602.0581126774196</v>
      </c>
      <c r="G44" s="93">
        <f t="shared" ref="G44:I44" si="49">G33-G42</f>
        <v>33535.735891436256</v>
      </c>
      <c r="H44" s="93">
        <f t="shared" si="49"/>
        <v>39528.642666932661</v>
      </c>
      <c r="I44" s="109">
        <f t="shared" si="49"/>
        <v>35033.072494711028</v>
      </c>
      <c r="J44" s="93">
        <f t="shared" ref="J44:O44" si="50">J33-J42</f>
        <v>0</v>
      </c>
      <c r="K44" s="93">
        <f t="shared" si="50"/>
        <v>0</v>
      </c>
      <c r="L44" s="93">
        <f t="shared" si="50"/>
        <v>0</v>
      </c>
      <c r="M44" s="93">
        <f t="shared" si="50"/>
        <v>0</v>
      </c>
      <c r="N44" s="93">
        <f t="shared" si="50"/>
        <v>0</v>
      </c>
      <c r="O44" s="93">
        <f t="shared" si="50"/>
        <v>0</v>
      </c>
      <c r="P44" s="71">
        <f>SUM(D44:F44)</f>
        <v>95001.838197614939</v>
      </c>
      <c r="Q44" s="71">
        <f>SUM(G44:I44)</f>
        <v>108097.45105307995</v>
      </c>
      <c r="R44" s="71">
        <f>SUM(J44:L44)</f>
        <v>0</v>
      </c>
      <c r="S44" s="71">
        <f>SUM(M44:O44)</f>
        <v>0</v>
      </c>
      <c r="T44" s="76">
        <f>SUM(D44:O44)</f>
        <v>203099.28925069488</v>
      </c>
    </row>
    <row r="45" spans="1:27" ht="6.6" customHeight="1">
      <c r="A45" s="64"/>
      <c r="B45" s="17"/>
      <c r="C45" s="42"/>
      <c r="D45" s="93"/>
      <c r="E45" s="93"/>
      <c r="F45" s="93"/>
      <c r="G45" s="93"/>
      <c r="H45" s="93"/>
      <c r="I45" s="109"/>
      <c r="J45" s="93"/>
      <c r="K45" s="93"/>
      <c r="L45" s="93"/>
      <c r="M45" s="93"/>
      <c r="N45" s="93"/>
      <c r="O45" s="93"/>
    </row>
    <row r="46" spans="1:27">
      <c r="A46" s="98">
        <v>29</v>
      </c>
      <c r="B46" s="99" t="s">
        <v>96</v>
      </c>
      <c r="C46" s="98" t="str">
        <f>"("&amp;A$28&amp;") + ("&amp;A44&amp;")"</f>
        <v>(15) + (28)</v>
      </c>
      <c r="D46" s="100">
        <f t="shared" ref="D46:O46" si="51">D28+D44</f>
        <v>857448.56265712925</v>
      </c>
      <c r="E46" s="100">
        <f t="shared" si="51"/>
        <v>-808599.53506010538</v>
      </c>
      <c r="F46" s="100">
        <f t="shared" si="51"/>
        <v>-670063.59892662312</v>
      </c>
      <c r="G46" s="100">
        <f t="shared" si="51"/>
        <v>386430.22405985184</v>
      </c>
      <c r="H46" s="100">
        <f t="shared" si="51"/>
        <v>84128.090922008734</v>
      </c>
      <c r="I46" s="180">
        <f t="shared" si="51"/>
        <v>-223975.83340095705</v>
      </c>
      <c r="J46" s="100">
        <f t="shared" si="51"/>
        <v>0</v>
      </c>
      <c r="K46" s="100">
        <f t="shared" si="51"/>
        <v>0</v>
      </c>
      <c r="L46" s="100">
        <f t="shared" si="51"/>
        <v>0</v>
      </c>
      <c r="M46" s="100">
        <f t="shared" si="51"/>
        <v>0</v>
      </c>
      <c r="N46" s="100">
        <f t="shared" si="51"/>
        <v>0</v>
      </c>
      <c r="O46" s="100">
        <f t="shared" si="51"/>
        <v>0</v>
      </c>
      <c r="P46" s="100">
        <f t="shared" ref="P46:P47" si="52">SUM(D46:F46)</f>
        <v>-621214.57132959925</v>
      </c>
      <c r="Q46" s="100">
        <f t="shared" ref="Q46:Q47" si="53">SUM(G46:I46)</f>
        <v>246582.48158090352</v>
      </c>
      <c r="R46" s="100">
        <f t="shared" ref="R46:R47" si="54">SUM(J46:L46)</f>
        <v>0</v>
      </c>
      <c r="S46" s="100">
        <f t="shared" ref="S46" si="55">SUM(M46:O46)</f>
        <v>0</v>
      </c>
      <c r="T46" s="100">
        <f>SUM(D46:O46)</f>
        <v>-374632.08974869573</v>
      </c>
      <c r="V46" s="131">
        <f>J46+J47</f>
        <v>0</v>
      </c>
      <c r="W46" s="131">
        <f>K46+K47</f>
        <v>0</v>
      </c>
      <c r="X46" s="131">
        <f>L46+L47</f>
        <v>0</v>
      </c>
      <c r="Y46" s="131"/>
      <c r="Z46" s="131"/>
      <c r="AA46" s="131"/>
    </row>
    <row r="47" spans="1:27">
      <c r="A47" s="101">
        <v>30</v>
      </c>
      <c r="B47" s="99" t="s">
        <v>22</v>
      </c>
      <c r="C47" s="102" t="s">
        <v>23</v>
      </c>
      <c r="D47" s="100">
        <f>D46*-0.005838</f>
        <v>-5005.784708792321</v>
      </c>
      <c r="E47" s="100">
        <f t="shared" ref="E47:G47" si="56">E46*-0.005838</f>
        <v>4720.6040856808959</v>
      </c>
      <c r="F47" s="100">
        <f t="shared" si="56"/>
        <v>3911.8312905336261</v>
      </c>
      <c r="G47" s="100">
        <f t="shared" si="56"/>
        <v>-2255.979648061415</v>
      </c>
      <c r="H47" s="100">
        <f t="shared" ref="H47" si="57">H46*-0.005838</f>
        <v>-491.13979480268699</v>
      </c>
      <c r="I47" s="180">
        <f t="shared" ref="I47:J47" si="58">I46*-0.005838</f>
        <v>1307.5709153947873</v>
      </c>
      <c r="J47" s="100">
        <f t="shared" si="58"/>
        <v>0</v>
      </c>
      <c r="K47" s="100">
        <f t="shared" ref="K47" si="59">K46*-0.005838</f>
        <v>0</v>
      </c>
      <c r="L47" s="100">
        <f t="shared" ref="L47:M47" si="60">L46*-0.005838</f>
        <v>0</v>
      </c>
      <c r="M47" s="100">
        <f t="shared" si="60"/>
        <v>0</v>
      </c>
      <c r="N47" s="100">
        <f t="shared" ref="N47" si="61">N46*-0.005838</f>
        <v>0</v>
      </c>
      <c r="O47" s="100">
        <f t="shared" ref="O47" si="62">O46*-0.005838</f>
        <v>0</v>
      </c>
      <c r="P47" s="100">
        <f t="shared" si="52"/>
        <v>3626.650667422201</v>
      </c>
      <c r="Q47" s="100">
        <f t="shared" si="53"/>
        <v>-1439.5485274693146</v>
      </c>
      <c r="R47" s="100">
        <f t="shared" si="54"/>
        <v>0</v>
      </c>
      <c r="S47" s="100">
        <f>SUM(M47:O47)</f>
        <v>0</v>
      </c>
      <c r="T47" s="100">
        <f>SUM(D47:O47)</f>
        <v>2187.1021399528863</v>
      </c>
      <c r="X47" s="131"/>
      <c r="Y47" s="131"/>
      <c r="Z47" s="131"/>
    </row>
    <row r="48" spans="1:27">
      <c r="A48" s="42">
        <v>31</v>
      </c>
      <c r="B48" s="17"/>
      <c r="C48" s="3" t="s">
        <v>97</v>
      </c>
      <c r="D48" s="103">
        <v>0.02</v>
      </c>
      <c r="E48" s="103">
        <f t="shared" ref="E48:G48" si="63">D48</f>
        <v>0.02</v>
      </c>
      <c r="F48" s="103">
        <f t="shared" si="63"/>
        <v>0.02</v>
      </c>
      <c r="G48" s="103">
        <f t="shared" si="63"/>
        <v>0.02</v>
      </c>
      <c r="H48" s="103">
        <f>G48</f>
        <v>0.02</v>
      </c>
      <c r="I48" s="181">
        <f t="shared" ref="I48:O48" si="64">H48</f>
        <v>0.02</v>
      </c>
      <c r="J48" s="181">
        <v>0</v>
      </c>
      <c r="K48" s="181">
        <f t="shared" ref="K48" si="65">J48</f>
        <v>0</v>
      </c>
      <c r="L48" s="181">
        <f t="shared" ref="L48:M48" si="66">K48</f>
        <v>0</v>
      </c>
      <c r="M48" s="181">
        <f t="shared" si="66"/>
        <v>0</v>
      </c>
      <c r="N48" s="103">
        <f t="shared" si="64"/>
        <v>0</v>
      </c>
      <c r="O48" s="103">
        <f t="shared" si="64"/>
        <v>0</v>
      </c>
    </row>
    <row r="49" spans="1:20">
      <c r="A49" s="101">
        <v>32</v>
      </c>
      <c r="B49" s="99" t="s">
        <v>24</v>
      </c>
      <c r="C49" s="99" t="s">
        <v>28</v>
      </c>
      <c r="D49" s="104">
        <f>(D46+D47)/2*D48/12</f>
        <v>710.3689816236141</v>
      </c>
      <c r="E49" s="104">
        <f t="shared" ref="E49" si="67">(D52+(E46+E47)/2)*E48/12</f>
        <v>752.02280240458037</v>
      </c>
      <c r="F49" s="104">
        <f t="shared" ref="F49" si="68">(E52+(F46+F47)/2)*F48/12</f>
        <v>-471.74940843350697</v>
      </c>
      <c r="G49" s="104">
        <f t="shared" ref="G49" si="69">(F52+(G46+G47)/2)*G48/12</f>
        <v>-707.51692680114536</v>
      </c>
      <c r="H49" s="104">
        <f t="shared" ref="H49" si="70">(G52+(H46+H47)/2)*H48/12</f>
        <v>-318.85345872998363</v>
      </c>
      <c r="I49" s="182">
        <f t="shared" ref="I49" si="71">(H52+(I46+I47)/2)*I48/12</f>
        <v>-435.24430729316373</v>
      </c>
      <c r="J49" s="104">
        <f t="shared" ref="J49:O49" si="72">(I52+(J46+J47)/2)*J48/12</f>
        <v>0</v>
      </c>
      <c r="K49" s="104">
        <f t="shared" si="72"/>
        <v>0</v>
      </c>
      <c r="L49" s="104">
        <f t="shared" si="72"/>
        <v>0</v>
      </c>
      <c r="M49" s="104">
        <f t="shared" si="72"/>
        <v>0</v>
      </c>
      <c r="N49" s="104">
        <f>(M52+(N46+N47)/2)*N48/12</f>
        <v>0</v>
      </c>
      <c r="O49" s="104">
        <f t="shared" si="72"/>
        <v>0</v>
      </c>
      <c r="P49" s="104">
        <f>SUM(D49:F49)</f>
        <v>990.64237559468756</v>
      </c>
      <c r="Q49" s="104">
        <f>SUM(G49:I49)</f>
        <v>-1461.6146928242927</v>
      </c>
      <c r="R49" s="104">
        <f>SUM(J49:L49)</f>
        <v>0</v>
      </c>
      <c r="S49" s="104">
        <f>SUM(M49:O49)</f>
        <v>0</v>
      </c>
      <c r="T49" s="104">
        <f>SUM(D49:O49)</f>
        <v>-470.97231722960515</v>
      </c>
    </row>
    <row r="50" spans="1:20">
      <c r="A50" s="105">
        <v>33</v>
      </c>
      <c r="B50" s="106" t="s">
        <v>25</v>
      </c>
      <c r="C50" s="107"/>
      <c r="D50" s="108">
        <f t="shared" ref="D50:F50" si="73">D46+D47+D49</f>
        <v>853153.14692996047</v>
      </c>
      <c r="E50" s="108">
        <f t="shared" si="73"/>
        <v>-803126.90817201987</v>
      </c>
      <c r="F50" s="108">
        <f t="shared" si="73"/>
        <v>-666623.51704452303</v>
      </c>
      <c r="G50" s="108">
        <f>G46+G47+G49</f>
        <v>383466.72748498933</v>
      </c>
      <c r="H50" s="108">
        <f t="shared" ref="H50:I50" si="74">H46+H47+H49</f>
        <v>83318.097668476068</v>
      </c>
      <c r="I50" s="193">
        <f t="shared" si="74"/>
        <v>-223103.50679285545</v>
      </c>
      <c r="J50" s="108">
        <f t="shared" ref="J50:O50" si="75">J46+J47+J49</f>
        <v>0</v>
      </c>
      <c r="K50" s="108">
        <f t="shared" si="75"/>
        <v>0</v>
      </c>
      <c r="L50" s="108">
        <f t="shared" si="75"/>
        <v>0</v>
      </c>
      <c r="M50" s="108">
        <f t="shared" si="75"/>
        <v>0</v>
      </c>
      <c r="N50" s="108">
        <f t="shared" si="75"/>
        <v>0</v>
      </c>
      <c r="O50" s="108">
        <f t="shared" si="75"/>
        <v>0</v>
      </c>
      <c r="P50" s="108">
        <f>P46+P47+P49</f>
        <v>-616597.27828658232</v>
      </c>
      <c r="Q50" s="108">
        <f t="shared" ref="Q50:T50" si="76">Q46+Q47+Q49</f>
        <v>243681.31836060993</v>
      </c>
      <c r="R50" s="108">
        <f t="shared" si="76"/>
        <v>0</v>
      </c>
      <c r="S50" s="108">
        <f t="shared" si="76"/>
        <v>0</v>
      </c>
      <c r="T50" s="108">
        <f t="shared" si="76"/>
        <v>-372915.95992597245</v>
      </c>
    </row>
    <row r="51" spans="1:20">
      <c r="A51" s="64"/>
      <c r="B51" s="17"/>
      <c r="C51" s="42"/>
      <c r="D51" s="94"/>
      <c r="E51" s="94"/>
      <c r="F51" s="94"/>
      <c r="G51" s="94"/>
      <c r="H51" s="94"/>
      <c r="I51" s="176"/>
      <c r="J51" s="94"/>
      <c r="K51" s="94"/>
      <c r="L51" s="94"/>
      <c r="M51" s="94"/>
      <c r="N51" s="94"/>
      <c r="O51" s="94"/>
    </row>
    <row r="52" spans="1:20">
      <c r="A52" s="42">
        <v>34</v>
      </c>
      <c r="B52" s="17" t="s">
        <v>98</v>
      </c>
      <c r="C52" s="42" t="str">
        <f>"Σ(("&amp;A$46&amp;"), ("&amp;A47&amp;"), ("&amp;A49&amp;"))"</f>
        <v>Σ((29), (30), (32))</v>
      </c>
      <c r="D52" s="93">
        <f>D46+D47+D49</f>
        <v>853153.14692996047</v>
      </c>
      <c r="E52" s="93">
        <f>D52+E46+E47+E49</f>
        <v>50026.238757940562</v>
      </c>
      <c r="F52" s="93">
        <f t="shared" ref="F52" si="77">E52+F46+F47+F49</f>
        <v>-616597.27828658244</v>
      </c>
      <c r="G52" s="93">
        <f>F52+G46+G47+G49</f>
        <v>-233130.55080159317</v>
      </c>
      <c r="H52" s="93">
        <f>G52+H46+H47+H49</f>
        <v>-149812.45313311712</v>
      </c>
      <c r="I52" s="109">
        <f t="shared" ref="I52" si="78">H52+I46+I47+I49</f>
        <v>-372915.95992597251</v>
      </c>
      <c r="J52" s="93">
        <f t="shared" ref="J52:O52" si="79">I52+J46+J47+J49</f>
        <v>-372915.95992597251</v>
      </c>
      <c r="K52" s="93">
        <f t="shared" si="79"/>
        <v>-372915.95992597251</v>
      </c>
      <c r="L52" s="93">
        <f t="shared" si="79"/>
        <v>-372915.95992597251</v>
      </c>
      <c r="M52" s="93">
        <f t="shared" si="79"/>
        <v>-372915.95992597251</v>
      </c>
      <c r="N52" s="93">
        <f>M52+N46+N47+N49</f>
        <v>-372915.95992597251</v>
      </c>
      <c r="O52" s="93">
        <f t="shared" si="79"/>
        <v>-372915.95992597251</v>
      </c>
    </row>
    <row r="53" spans="1:20">
      <c r="A53" s="42"/>
      <c r="B53" s="17"/>
      <c r="C53" s="42"/>
      <c r="D53" s="93"/>
      <c r="E53" s="93"/>
      <c r="F53" s="93"/>
      <c r="G53" s="93"/>
      <c r="H53" s="93"/>
      <c r="I53" s="109"/>
      <c r="J53" s="93"/>
      <c r="K53" s="93"/>
      <c r="L53" s="93"/>
      <c r="M53" s="93"/>
      <c r="N53" s="93"/>
      <c r="O53" s="109"/>
    </row>
    <row r="54" spans="1:20">
      <c r="A54" s="42"/>
      <c r="B54" s="1" t="s">
        <v>26</v>
      </c>
      <c r="C54" s="42"/>
      <c r="D54" s="93"/>
      <c r="E54" s="93"/>
      <c r="F54" s="93"/>
      <c r="G54" s="93"/>
      <c r="H54" s="93"/>
      <c r="I54" s="109"/>
      <c r="J54" s="93"/>
      <c r="K54" s="93"/>
      <c r="L54" s="93"/>
      <c r="M54" s="93"/>
      <c r="N54" s="93"/>
      <c r="O54" s="93"/>
    </row>
    <row r="55" spans="1:20" ht="6.6" customHeight="1">
      <c r="A55" s="42"/>
      <c r="B55" s="1"/>
      <c r="C55" s="42"/>
      <c r="D55" s="93"/>
      <c r="E55" s="93"/>
      <c r="F55" s="93"/>
      <c r="G55" s="93"/>
      <c r="H55" s="93"/>
      <c r="I55" s="109"/>
      <c r="J55" s="93"/>
      <c r="K55" s="93"/>
      <c r="L55" s="93"/>
      <c r="M55" s="93"/>
      <c r="N55" s="93"/>
      <c r="O55" s="93"/>
    </row>
    <row r="56" spans="1:20">
      <c r="A56" s="42">
        <v>1</v>
      </c>
      <c r="B56" s="17" t="s">
        <v>74</v>
      </c>
      <c r="C56" s="42" t="s">
        <v>75</v>
      </c>
      <c r="D56" s="110">
        <v>24479</v>
      </c>
      <c r="E56" s="110">
        <v>24283</v>
      </c>
      <c r="F56" s="110">
        <v>24436</v>
      </c>
      <c r="G56" s="110">
        <v>24413</v>
      </c>
      <c r="H56" s="110">
        <v>24580</v>
      </c>
      <c r="I56" s="183">
        <v>24357</v>
      </c>
      <c r="J56" s="110"/>
      <c r="K56" s="110"/>
      <c r="L56" s="110"/>
      <c r="M56" s="110"/>
      <c r="N56" s="110"/>
      <c r="O56" s="110"/>
      <c r="P56" s="74">
        <f>SUM(D56:F56)</f>
        <v>73198</v>
      </c>
      <c r="Q56" s="74">
        <f t="shared" ref="Q56:Q59" si="80">SUM(G56:I56)</f>
        <v>73350</v>
      </c>
      <c r="R56" s="74">
        <f t="shared" ref="R56:R59" si="81">SUM(J56:L56)</f>
        <v>0</v>
      </c>
      <c r="S56" s="74">
        <f>SUM(M56:O56)</f>
        <v>0</v>
      </c>
      <c r="T56" s="75">
        <f>SUM(D56:O56)</f>
        <v>146548</v>
      </c>
    </row>
    <row r="57" spans="1:20">
      <c r="A57" s="42">
        <v>2</v>
      </c>
      <c r="B57" s="17" t="s">
        <v>76</v>
      </c>
      <c r="C57" s="42" t="s">
        <v>75</v>
      </c>
      <c r="D57" s="110">
        <v>94053098.067619994</v>
      </c>
      <c r="E57" s="110">
        <v>97656464.564009994</v>
      </c>
      <c r="F57" s="110">
        <v>85519871.374989986</v>
      </c>
      <c r="G57" s="110">
        <v>86397637.358010009</v>
      </c>
      <c r="H57" s="110">
        <v>84253492.437999994</v>
      </c>
      <c r="I57" s="183">
        <v>89798728.746000007</v>
      </c>
      <c r="J57" s="110"/>
      <c r="K57" s="110"/>
      <c r="L57" s="110"/>
      <c r="M57" s="110"/>
      <c r="N57" s="110"/>
      <c r="O57" s="110"/>
      <c r="P57" s="74">
        <f t="shared" ref="P57:P59" si="82">SUM(D57:F57)</f>
        <v>277229434.00661999</v>
      </c>
      <c r="Q57" s="74">
        <f t="shared" si="80"/>
        <v>260449858.54201001</v>
      </c>
      <c r="R57" s="74">
        <f t="shared" si="81"/>
        <v>0</v>
      </c>
      <c r="S57" s="74">
        <f>SUM(M57:O57)</f>
        <v>0</v>
      </c>
      <c r="T57" s="75">
        <f t="shared" ref="T57:T59" si="83">SUM(D57:O57)</f>
        <v>537679292.54863</v>
      </c>
    </row>
    <row r="58" spans="1:20">
      <c r="A58" s="42">
        <v>3</v>
      </c>
      <c r="B58" s="17" t="s">
        <v>77</v>
      </c>
      <c r="C58" s="42" t="s">
        <v>75</v>
      </c>
      <c r="D58" s="111">
        <v>8292684.4665000001</v>
      </c>
      <c r="E58" s="202">
        <v>8511583.5056200009</v>
      </c>
      <c r="F58" s="111">
        <v>7854922.0677899988</v>
      </c>
      <c r="G58" s="111">
        <v>7860197.4980199998</v>
      </c>
      <c r="H58" s="111">
        <v>7693115.0507599991</v>
      </c>
      <c r="I58" s="184">
        <v>7971965.5359199997</v>
      </c>
      <c r="J58" s="111"/>
      <c r="K58" s="111"/>
      <c r="L58" s="110"/>
      <c r="M58" s="110"/>
      <c r="N58" s="110"/>
      <c r="O58" s="110"/>
      <c r="P58" s="161">
        <f t="shared" si="82"/>
        <v>24659190.03991</v>
      </c>
      <c r="Q58" s="161">
        <f t="shared" si="80"/>
        <v>23525278.084699996</v>
      </c>
      <c r="R58" s="161">
        <f t="shared" si="81"/>
        <v>0</v>
      </c>
      <c r="S58" s="161">
        <f t="shared" ref="S58:S59" si="84">SUM(M58:O58)</f>
        <v>0</v>
      </c>
      <c r="T58" s="162">
        <f t="shared" si="83"/>
        <v>48184468.124609999</v>
      </c>
    </row>
    <row r="59" spans="1:20">
      <c r="A59" s="42">
        <v>4</v>
      </c>
      <c r="B59" s="17" t="s">
        <v>78</v>
      </c>
      <c r="C59" s="42" t="s">
        <v>75</v>
      </c>
      <c r="D59" s="111">
        <v>760608.5199999999</v>
      </c>
      <c r="E59" s="111">
        <v>751029.52000000014</v>
      </c>
      <c r="F59" s="111">
        <v>759011.59</v>
      </c>
      <c r="G59" s="111">
        <v>756576.99000000011</v>
      </c>
      <c r="H59" s="111">
        <v>760901.12</v>
      </c>
      <c r="I59" s="184">
        <v>752209.36</v>
      </c>
      <c r="J59" s="111"/>
      <c r="K59" s="111"/>
      <c r="L59" s="110"/>
      <c r="M59" s="110"/>
      <c r="N59" s="110"/>
      <c r="O59" s="110"/>
      <c r="P59" s="161">
        <f t="shared" si="82"/>
        <v>2270649.63</v>
      </c>
      <c r="Q59" s="161">
        <f t="shared" si="80"/>
        <v>2269687.4700000002</v>
      </c>
      <c r="R59" s="161">
        <f t="shared" si="81"/>
        <v>0</v>
      </c>
      <c r="S59" s="161">
        <f t="shared" si="84"/>
        <v>0</v>
      </c>
      <c r="T59" s="162">
        <f t="shared" si="83"/>
        <v>4540337.1000000006</v>
      </c>
    </row>
    <row r="60" spans="1:20" ht="6.6" customHeight="1">
      <c r="A60" s="42"/>
      <c r="B60" s="17"/>
      <c r="C60" s="42"/>
      <c r="D60" s="93"/>
      <c r="E60" s="93"/>
      <c r="F60" s="93"/>
      <c r="G60" s="93"/>
      <c r="H60" s="93"/>
      <c r="I60" s="109"/>
      <c r="J60" s="93"/>
      <c r="K60" s="93"/>
      <c r="L60" s="93"/>
      <c r="M60" s="93"/>
      <c r="N60" s="93"/>
      <c r="O60" s="93"/>
      <c r="P60" s="74"/>
      <c r="Q60" s="74"/>
      <c r="R60" s="74"/>
      <c r="S60" s="74"/>
      <c r="T60" s="75"/>
    </row>
    <row r="61" spans="1:20">
      <c r="A61" s="42"/>
      <c r="B61" s="86" t="str">
        <f>B16</f>
        <v>Existing Customers</v>
      </c>
      <c r="C61" s="42"/>
      <c r="D61" s="93"/>
      <c r="E61" s="93"/>
      <c r="F61" s="93"/>
      <c r="G61" s="93"/>
      <c r="H61" s="93"/>
      <c r="I61" s="109"/>
      <c r="J61" s="93"/>
      <c r="K61" s="93"/>
      <c r="L61" s="93"/>
      <c r="M61" s="93"/>
      <c r="N61" s="93"/>
      <c r="O61" s="93"/>
      <c r="P61" s="74"/>
      <c r="Q61" s="74"/>
      <c r="R61" s="74"/>
      <c r="S61" s="74"/>
      <c r="T61" s="75"/>
    </row>
    <row r="62" spans="1:20">
      <c r="A62" s="42">
        <v>5</v>
      </c>
      <c r="B62" s="17" t="str">
        <f>B17</f>
        <v>Actual Customers on System During Test Year</v>
      </c>
      <c r="C62" s="42" t="str">
        <f>C17</f>
        <v>(1) - (16)</v>
      </c>
      <c r="D62" s="89">
        <f t="shared" ref="D62:O62" si="85">D56-D76</f>
        <v>23517</v>
      </c>
      <c r="E62" s="89">
        <f t="shared" si="85"/>
        <v>23284</v>
      </c>
      <c r="F62" s="89">
        <f t="shared" si="85"/>
        <v>23425</v>
      </c>
      <c r="G62" s="89">
        <f t="shared" si="85"/>
        <v>23365</v>
      </c>
      <c r="H62" s="89">
        <f t="shared" si="85"/>
        <v>23481</v>
      </c>
      <c r="I62" s="174">
        <f t="shared" si="85"/>
        <v>23219</v>
      </c>
      <c r="J62" s="89">
        <f t="shared" si="85"/>
        <v>0</v>
      </c>
      <c r="K62" s="89">
        <f t="shared" si="85"/>
        <v>0</v>
      </c>
      <c r="L62" s="89">
        <f t="shared" si="85"/>
        <v>0</v>
      </c>
      <c r="M62" s="89">
        <f t="shared" si="85"/>
        <v>0</v>
      </c>
      <c r="N62" s="89">
        <f t="shared" si="85"/>
        <v>0</v>
      </c>
      <c r="O62" s="89">
        <f t="shared" si="85"/>
        <v>0</v>
      </c>
      <c r="P62" s="74">
        <f>SUM(D62:F62)</f>
        <v>70226</v>
      </c>
      <c r="Q62" s="74">
        <f>SUM(G62:I62)</f>
        <v>70065</v>
      </c>
      <c r="R62" s="74">
        <f>SUM(J62:L62)</f>
        <v>0</v>
      </c>
      <c r="S62" s="74">
        <f>SUM(M62:O62)</f>
        <v>0</v>
      </c>
      <c r="T62" s="75">
        <f>SUM(D62:O62)</f>
        <v>140291</v>
      </c>
    </row>
    <row r="63" spans="1:20">
      <c r="A63" s="90">
        <v>6</v>
      </c>
      <c r="B63" s="17" t="str">
        <f>B18</f>
        <v>Monthly Fixed Cost Adj. Revenue per Customer</v>
      </c>
      <c r="C63" s="42" t="str">
        <f>C18</f>
        <v>Page 3</v>
      </c>
      <c r="D63" s="91">
        <v>221.16218756046493</v>
      </c>
      <c r="E63" s="91">
        <v>215.93598361551247</v>
      </c>
      <c r="F63" s="91">
        <v>208.37238342744004</v>
      </c>
      <c r="G63" s="91">
        <v>200.89088578043388</v>
      </c>
      <c r="H63" s="91">
        <v>208.9555708501054</v>
      </c>
      <c r="I63" s="179">
        <v>196.95852599580576</v>
      </c>
      <c r="J63" s="91">
        <v>235.42152442284493</v>
      </c>
      <c r="K63" s="91">
        <v>222.32548210697482</v>
      </c>
      <c r="L63" s="91">
        <v>193.57133401334346</v>
      </c>
      <c r="M63" s="91">
        <v>210.82647031279231</v>
      </c>
      <c r="N63" s="91">
        <v>204.19282135655035</v>
      </c>
      <c r="O63" s="91">
        <v>231.76683055773177</v>
      </c>
      <c r="P63" s="70">
        <f>P64/P62</f>
        <v>215.16315451756941</v>
      </c>
      <c r="Q63" s="70">
        <f>Q64/Q62</f>
        <v>202.29046343377973</v>
      </c>
      <c r="R63" s="70" t="e">
        <f>R64/R62</f>
        <v>#DIV/0!</v>
      </c>
      <c r="S63" s="70" t="e">
        <f>S64/S62</f>
        <v>#DIV/0!</v>
      </c>
      <c r="T63" s="70">
        <f>T64/T62</f>
        <v>208.73419541979604</v>
      </c>
    </row>
    <row r="64" spans="1:20">
      <c r="A64" s="42">
        <v>7</v>
      </c>
      <c r="B64" s="17" t="str">
        <f>B19</f>
        <v>Fixed Cost Adjustment Revenue</v>
      </c>
      <c r="C64" s="42" t="str">
        <f>C19</f>
        <v>(5) x (6)</v>
      </c>
      <c r="D64" s="93">
        <f t="shared" ref="D64:I64" si="86">D62*D63</f>
        <v>5201071.1648594541</v>
      </c>
      <c r="E64" s="93">
        <f t="shared" si="86"/>
        <v>5027853.442503592</v>
      </c>
      <c r="F64" s="93">
        <f t="shared" si="86"/>
        <v>4881123.0817877827</v>
      </c>
      <c r="G64" s="93">
        <f t="shared" si="86"/>
        <v>4693815.5462598372</v>
      </c>
      <c r="H64" s="93">
        <f t="shared" si="86"/>
        <v>4906485.7591313254</v>
      </c>
      <c r="I64" s="109">
        <f t="shared" si="86"/>
        <v>4573180.0150966141</v>
      </c>
      <c r="J64" s="93">
        <f t="shared" ref="J64:O64" si="87">J62*J63</f>
        <v>0</v>
      </c>
      <c r="K64" s="93">
        <f t="shared" si="87"/>
        <v>0</v>
      </c>
      <c r="L64" s="93">
        <f t="shared" si="87"/>
        <v>0</v>
      </c>
      <c r="M64" s="93">
        <f t="shared" si="87"/>
        <v>0</v>
      </c>
      <c r="N64" s="93">
        <f t="shared" si="87"/>
        <v>0</v>
      </c>
      <c r="O64" s="93">
        <f t="shared" si="87"/>
        <v>0</v>
      </c>
      <c r="P64" s="71">
        <f>SUM(D64:F64)</f>
        <v>15110047.689150829</v>
      </c>
      <c r="Q64" s="71">
        <f>SUM(G64:I64)</f>
        <v>14173481.320487777</v>
      </c>
      <c r="R64" s="71">
        <f>SUM(J64:L64)</f>
        <v>0</v>
      </c>
      <c r="S64" s="71">
        <f>SUM(M64:O64)</f>
        <v>0</v>
      </c>
      <c r="T64" s="76">
        <f>SUM(D64:O64)</f>
        <v>29283529.009638608</v>
      </c>
    </row>
    <row r="65" spans="1:20" ht="6.6" customHeight="1">
      <c r="A65" s="42"/>
      <c r="B65" s="17"/>
      <c r="C65" s="42"/>
      <c r="D65" s="94"/>
      <c r="E65" s="94"/>
      <c r="F65" s="94"/>
      <c r="G65" s="94"/>
      <c r="H65" s="94"/>
      <c r="I65" s="176"/>
      <c r="J65" s="94"/>
      <c r="K65" s="94"/>
      <c r="L65" s="94"/>
      <c r="M65" s="94"/>
      <c r="N65" s="94"/>
      <c r="O65" s="94"/>
      <c r="P65" s="45"/>
      <c r="Q65" s="45"/>
      <c r="R65" s="45"/>
      <c r="S65" s="45"/>
      <c r="T65" s="45"/>
    </row>
    <row r="66" spans="1:20">
      <c r="A66" s="42">
        <v>8</v>
      </c>
      <c r="B66" s="17" t="str">
        <f t="shared" ref="B66:C71" si="88">B21</f>
        <v>Actual Base Rate Revenue</v>
      </c>
      <c r="C66" s="42" t="str">
        <f t="shared" si="88"/>
        <v>(3) - (19)</v>
      </c>
      <c r="D66" s="93">
        <f t="shared" ref="D66:T66" si="89">D58-D80</f>
        <v>8073142.6964999996</v>
      </c>
      <c r="E66" s="93">
        <f t="shared" si="89"/>
        <v>8279042.1856200006</v>
      </c>
      <c r="F66" s="93">
        <f t="shared" si="89"/>
        <v>7617124.517789999</v>
      </c>
      <c r="G66" s="93">
        <f t="shared" si="89"/>
        <v>7658308.6680199997</v>
      </c>
      <c r="H66" s="93">
        <f t="shared" si="89"/>
        <v>7509074.260759999</v>
      </c>
      <c r="I66" s="109">
        <f t="shared" si="89"/>
        <v>7789256.8059199993</v>
      </c>
      <c r="J66" s="93">
        <f t="shared" si="89"/>
        <v>0</v>
      </c>
      <c r="K66" s="93">
        <f t="shared" si="89"/>
        <v>0</v>
      </c>
      <c r="L66" s="93">
        <f t="shared" si="89"/>
        <v>0</v>
      </c>
      <c r="M66" s="93">
        <f t="shared" si="89"/>
        <v>0</v>
      </c>
      <c r="N66" s="93">
        <f t="shared" si="89"/>
        <v>0</v>
      </c>
      <c r="O66" s="93">
        <f t="shared" si="89"/>
        <v>0</v>
      </c>
      <c r="P66" s="93">
        <f t="shared" si="89"/>
        <v>23969309.399909999</v>
      </c>
      <c r="Q66" s="93">
        <f t="shared" si="89"/>
        <v>22956639.734699994</v>
      </c>
      <c r="R66" s="93">
        <f t="shared" si="89"/>
        <v>0</v>
      </c>
      <c r="S66" s="93">
        <f t="shared" si="89"/>
        <v>0</v>
      </c>
      <c r="T66" s="93">
        <f t="shared" si="89"/>
        <v>46925949.134609997</v>
      </c>
    </row>
    <row r="67" spans="1:20">
      <c r="A67" s="42">
        <v>9</v>
      </c>
      <c r="B67" s="17" t="str">
        <f t="shared" si="88"/>
        <v>Actual Fixed Charge Revenue</v>
      </c>
      <c r="C67" s="42" t="str">
        <f t="shared" si="88"/>
        <v>(4) - (20)</v>
      </c>
      <c r="D67" s="93">
        <f t="shared" ref="D67:T67" si="90">D59-D81</f>
        <v>740728.14999999991</v>
      </c>
      <c r="E67" s="93">
        <f t="shared" si="90"/>
        <v>730562.21000000008</v>
      </c>
      <c r="F67" s="93">
        <f t="shared" si="90"/>
        <v>737908.48</v>
      </c>
      <c r="G67" s="93">
        <f t="shared" si="90"/>
        <v>735947.6100000001</v>
      </c>
      <c r="H67" s="93">
        <f t="shared" si="90"/>
        <v>739429.7</v>
      </c>
      <c r="I67" s="109">
        <f t="shared" si="90"/>
        <v>730606.74</v>
      </c>
      <c r="J67" s="93">
        <f t="shared" si="90"/>
        <v>0</v>
      </c>
      <c r="K67" s="93">
        <f t="shared" si="90"/>
        <v>0</v>
      </c>
      <c r="L67" s="93">
        <f t="shared" si="90"/>
        <v>0</v>
      </c>
      <c r="M67" s="93">
        <f t="shared" si="90"/>
        <v>0</v>
      </c>
      <c r="N67" s="93">
        <f t="shared" si="90"/>
        <v>0</v>
      </c>
      <c r="O67" s="93">
        <f t="shared" si="90"/>
        <v>0</v>
      </c>
      <c r="P67" s="93">
        <f t="shared" si="90"/>
        <v>2209198.84</v>
      </c>
      <c r="Q67" s="93">
        <f t="shared" si="90"/>
        <v>2205984.0500000003</v>
      </c>
      <c r="R67" s="93">
        <f t="shared" si="90"/>
        <v>0</v>
      </c>
      <c r="S67" s="93">
        <f t="shared" si="90"/>
        <v>0</v>
      </c>
      <c r="T67" s="93">
        <f t="shared" si="90"/>
        <v>4415182.8900000006</v>
      </c>
    </row>
    <row r="68" spans="1:20">
      <c r="A68" s="42">
        <v>10</v>
      </c>
      <c r="B68" s="17" t="str">
        <f t="shared" si="88"/>
        <v>Actual Usage (kWhs)</v>
      </c>
      <c r="C68" s="42" t="str">
        <f t="shared" si="88"/>
        <v>(2) - (21)</v>
      </c>
      <c r="D68" s="89">
        <f t="shared" ref="D68:T68" si="91">D57-D82</f>
        <v>91652390.107620001</v>
      </c>
      <c r="E68" s="89">
        <f t="shared" si="91"/>
        <v>95180403.224009991</v>
      </c>
      <c r="F68" s="89">
        <f t="shared" si="91"/>
        <v>82994475.654989988</v>
      </c>
      <c r="G68" s="89">
        <f t="shared" si="91"/>
        <v>84304106.418010011</v>
      </c>
      <c r="H68" s="89">
        <f t="shared" si="91"/>
        <v>82396891.748999998</v>
      </c>
      <c r="I68" s="174">
        <f t="shared" si="91"/>
        <v>87954754.916000009</v>
      </c>
      <c r="J68" s="89">
        <f t="shared" si="91"/>
        <v>0</v>
      </c>
      <c r="K68" s="89">
        <f t="shared" si="91"/>
        <v>0</v>
      </c>
      <c r="L68" s="89">
        <f t="shared" si="91"/>
        <v>0</v>
      </c>
      <c r="M68" s="89">
        <f t="shared" si="91"/>
        <v>0</v>
      </c>
      <c r="N68" s="89">
        <f t="shared" si="91"/>
        <v>0</v>
      </c>
      <c r="O68" s="89">
        <f t="shared" si="91"/>
        <v>0</v>
      </c>
      <c r="P68" s="89">
        <f t="shared" si="91"/>
        <v>269827268.98662001</v>
      </c>
      <c r="Q68" s="89">
        <f t="shared" si="91"/>
        <v>254655753.08301002</v>
      </c>
      <c r="R68" s="89">
        <f t="shared" si="91"/>
        <v>0</v>
      </c>
      <c r="S68" s="89">
        <f t="shared" si="91"/>
        <v>0</v>
      </c>
      <c r="T68" s="89">
        <f t="shared" si="91"/>
        <v>524483022.06963003</v>
      </c>
    </row>
    <row r="69" spans="1:20">
      <c r="A69" s="42">
        <v>11</v>
      </c>
      <c r="B69" s="17" t="str">
        <f t="shared" si="88"/>
        <v>Load Change Adjustment Rate ($/kWh)</v>
      </c>
      <c r="C69" s="42" t="str">
        <f t="shared" si="88"/>
        <v>Page 1</v>
      </c>
      <c r="D69" s="95">
        <v>2.4989999999999998E-2</v>
      </c>
      <c r="E69" s="95">
        <v>2.4989999999999998E-2</v>
      </c>
      <c r="F69" s="95">
        <v>2.4989999999999998E-2</v>
      </c>
      <c r="G69" s="95">
        <v>2.4989999999999998E-2</v>
      </c>
      <c r="H69" s="95">
        <v>2.4989999999999998E-2</v>
      </c>
      <c r="I69" s="177">
        <v>2.4989999999999998E-2</v>
      </c>
      <c r="J69" s="95">
        <v>2.4989999999999998E-2</v>
      </c>
      <c r="K69" s="95">
        <v>2.4989999999999998E-2</v>
      </c>
      <c r="L69" s="95">
        <v>2.4989999999999998E-2</v>
      </c>
      <c r="M69" s="95">
        <v>2.4989999999999998E-2</v>
      </c>
      <c r="N69" s="95">
        <v>2.4989999999999998E-2</v>
      </c>
      <c r="O69" s="95">
        <v>2.4989999999999998E-2</v>
      </c>
      <c r="P69" s="95">
        <f>P24</f>
        <v>2.4989999999999998E-2</v>
      </c>
      <c r="Q69" s="95">
        <f>Q24</f>
        <v>2.4989999999999998E-2</v>
      </c>
      <c r="R69" s="95">
        <f>R24</f>
        <v>2.4989999999999998E-2</v>
      </c>
      <c r="S69" s="95">
        <f>S24</f>
        <v>2.4989999999999998E-2</v>
      </c>
      <c r="T69" s="95">
        <f>T24</f>
        <v>2.4989999999999998E-2</v>
      </c>
    </row>
    <row r="70" spans="1:20">
      <c r="A70" s="42">
        <v>12</v>
      </c>
      <c r="B70" s="17" t="str">
        <f t="shared" si="88"/>
        <v>Variable Power Supply Revenue</v>
      </c>
      <c r="C70" s="42" t="str">
        <f t="shared" si="88"/>
        <v>(10) x (11)</v>
      </c>
      <c r="D70" s="93">
        <f t="shared" ref="D70:I70" si="92">D68*D69</f>
        <v>2290393.2287894236</v>
      </c>
      <c r="E70" s="93">
        <f t="shared" si="92"/>
        <v>2378558.2765680095</v>
      </c>
      <c r="F70" s="93">
        <f t="shared" si="92"/>
        <v>2074031.9466181996</v>
      </c>
      <c r="G70" s="93">
        <f t="shared" si="92"/>
        <v>2106759.6193860699</v>
      </c>
      <c r="H70" s="93">
        <f t="shared" si="92"/>
        <v>2059098.3248075098</v>
      </c>
      <c r="I70" s="109">
        <f t="shared" si="92"/>
        <v>2197989.3253508401</v>
      </c>
      <c r="J70" s="93">
        <f t="shared" ref="J70:O70" si="93">J68*J69</f>
        <v>0</v>
      </c>
      <c r="K70" s="93">
        <f t="shared" si="93"/>
        <v>0</v>
      </c>
      <c r="L70" s="93">
        <f t="shared" si="93"/>
        <v>0</v>
      </c>
      <c r="M70" s="93">
        <f t="shared" si="93"/>
        <v>0</v>
      </c>
      <c r="N70" s="93">
        <f t="shared" si="93"/>
        <v>0</v>
      </c>
      <c r="O70" s="93">
        <f t="shared" si="93"/>
        <v>0</v>
      </c>
      <c r="P70" s="93">
        <f t="shared" ref="P70:T70" si="94">P68*P69</f>
        <v>6742983.4519756334</v>
      </c>
      <c r="Q70" s="93">
        <f t="shared" si="94"/>
        <v>6363847.2695444198</v>
      </c>
      <c r="R70" s="93">
        <f t="shared" si="94"/>
        <v>0</v>
      </c>
      <c r="S70" s="93">
        <f t="shared" si="94"/>
        <v>0</v>
      </c>
      <c r="T70" s="93">
        <f t="shared" si="94"/>
        <v>13106830.721520053</v>
      </c>
    </row>
    <row r="71" spans="1:20">
      <c r="A71" s="42">
        <v>13</v>
      </c>
      <c r="B71" s="17" t="str">
        <f t="shared" si="88"/>
        <v>Customer Fixed Cost Adjustment Revenue</v>
      </c>
      <c r="C71" s="42" t="str">
        <f t="shared" si="88"/>
        <v>(8) - (9) -(12)</v>
      </c>
      <c r="D71" s="93">
        <f t="shared" ref="D71:I71" si="95">D66-D67-D70</f>
        <v>5042021.3177105756</v>
      </c>
      <c r="E71" s="93">
        <f t="shared" si="95"/>
        <v>5169921.6990519911</v>
      </c>
      <c r="F71" s="93">
        <f t="shared" si="95"/>
        <v>4805184.0911717992</v>
      </c>
      <c r="G71" s="93">
        <f t="shared" si="95"/>
        <v>4815601.4386339299</v>
      </c>
      <c r="H71" s="93">
        <f t="shared" si="95"/>
        <v>4710546.2359524891</v>
      </c>
      <c r="I71" s="109">
        <f t="shared" si="95"/>
        <v>4860660.7405691594</v>
      </c>
      <c r="J71" s="93">
        <f t="shared" ref="J71:O71" si="96">J66-J67-J70</f>
        <v>0</v>
      </c>
      <c r="K71" s="93">
        <f t="shared" si="96"/>
        <v>0</v>
      </c>
      <c r="L71" s="93">
        <f t="shared" si="96"/>
        <v>0</v>
      </c>
      <c r="M71" s="93">
        <f t="shared" si="96"/>
        <v>0</v>
      </c>
      <c r="N71" s="93">
        <f t="shared" si="96"/>
        <v>0</v>
      </c>
      <c r="O71" s="93">
        <f t="shared" si="96"/>
        <v>0</v>
      </c>
      <c r="P71" s="71">
        <f>SUM(D71:F71)</f>
        <v>15017127.107934365</v>
      </c>
      <c r="Q71" s="71">
        <f>SUM(G71:I71)</f>
        <v>14386808.415155578</v>
      </c>
      <c r="R71" s="71">
        <f>SUM(J71:L71)</f>
        <v>0</v>
      </c>
      <c r="S71" s="71">
        <f>SUM(M71:O71)</f>
        <v>0</v>
      </c>
      <c r="T71" s="76">
        <f>SUM(D71:O71)</f>
        <v>29403935.523089945</v>
      </c>
    </row>
    <row r="72" spans="1:20">
      <c r="A72" s="42">
        <v>14</v>
      </c>
      <c r="B72" s="3" t="s">
        <v>27</v>
      </c>
      <c r="C72" s="42"/>
      <c r="D72" s="112">
        <f t="shared" ref="D72:I72" si="97">D71/D62</f>
        <v>214.39900147597805</v>
      </c>
      <c r="E72" s="112">
        <f t="shared" si="97"/>
        <v>222.03752358065586</v>
      </c>
      <c r="F72" s="112">
        <f t="shared" si="97"/>
        <v>205.13059087179505</v>
      </c>
      <c r="G72" s="112">
        <f t="shared" si="97"/>
        <v>206.10320730297153</v>
      </c>
      <c r="H72" s="112">
        <f t="shared" si="97"/>
        <v>200.61097210308287</v>
      </c>
      <c r="I72" s="186">
        <f t="shared" si="97"/>
        <v>209.33979674271757</v>
      </c>
      <c r="J72" s="112" t="e">
        <f t="shared" ref="J72:O72" si="98">J71/J62</f>
        <v>#DIV/0!</v>
      </c>
      <c r="K72" s="112" t="e">
        <f t="shared" si="98"/>
        <v>#DIV/0!</v>
      </c>
      <c r="L72" s="112" t="e">
        <f t="shared" si="98"/>
        <v>#DIV/0!</v>
      </c>
      <c r="M72" s="112" t="e">
        <f t="shared" si="98"/>
        <v>#DIV/0!</v>
      </c>
      <c r="N72" s="112" t="e">
        <f t="shared" si="98"/>
        <v>#DIV/0!</v>
      </c>
      <c r="O72" s="112" t="e">
        <f t="shared" si="98"/>
        <v>#DIV/0!</v>
      </c>
      <c r="P72" s="78">
        <f>P71/P62</f>
        <v>213.83998957557549</v>
      </c>
      <c r="Q72" s="78">
        <f>Q71/Q62</f>
        <v>205.33516613366984</v>
      </c>
      <c r="R72" s="78" t="e">
        <f>R71/R62</f>
        <v>#DIV/0!</v>
      </c>
      <c r="S72" s="78" t="e">
        <f>S71/S62</f>
        <v>#DIV/0!</v>
      </c>
      <c r="T72" s="78">
        <f>T71/T62</f>
        <v>209.59245798440347</v>
      </c>
    </row>
    <row r="73" spans="1:20">
      <c r="A73" s="42">
        <v>15</v>
      </c>
      <c r="B73" s="17" t="str">
        <f>B28</f>
        <v>Existing Customer Deferral - Surcharge (Rebate)</v>
      </c>
      <c r="C73" s="42" t="str">
        <f>C28</f>
        <v>(7) - (13)</v>
      </c>
      <c r="D73" s="93">
        <f t="shared" ref="D73:I73" si="99">D64-D71</f>
        <v>159049.8471488785</v>
      </c>
      <c r="E73" s="93">
        <f>E64-E71</f>
        <v>-142068.25654839911</v>
      </c>
      <c r="F73" s="93">
        <f t="shared" si="99"/>
        <v>75938.990615983494</v>
      </c>
      <c r="G73" s="93">
        <f t="shared" si="99"/>
        <v>-121785.89237409271</v>
      </c>
      <c r="H73" s="93">
        <f t="shared" si="99"/>
        <v>195939.52317883633</v>
      </c>
      <c r="I73" s="109">
        <f t="shared" si="99"/>
        <v>-287480.72547254525</v>
      </c>
      <c r="J73" s="93">
        <f t="shared" ref="J73:O73" si="100">J64-J71</f>
        <v>0</v>
      </c>
      <c r="K73" s="93">
        <f t="shared" si="100"/>
        <v>0</v>
      </c>
      <c r="L73" s="93">
        <f t="shared" si="100"/>
        <v>0</v>
      </c>
      <c r="M73" s="93">
        <f t="shared" si="100"/>
        <v>0</v>
      </c>
      <c r="N73" s="93">
        <f t="shared" si="100"/>
        <v>0</v>
      </c>
      <c r="O73" s="93">
        <f t="shared" si="100"/>
        <v>0</v>
      </c>
      <c r="P73" s="71">
        <f>SUM(D73:F73)</f>
        <v>92920.581216462888</v>
      </c>
      <c r="Q73" s="71">
        <f>SUM(G73:I73)</f>
        <v>-213327.09466780163</v>
      </c>
      <c r="R73" s="71">
        <f>SUM(J73:L73)</f>
        <v>0</v>
      </c>
      <c r="S73" s="71">
        <f>SUM(M73:O73)</f>
        <v>0</v>
      </c>
      <c r="T73" s="76">
        <f>SUM(D73:O73)</f>
        <v>-120406.51345133875</v>
      </c>
    </row>
    <row r="74" spans="1:20" ht="10.15" customHeight="1">
      <c r="A74" s="42"/>
      <c r="B74" s="17"/>
      <c r="C74" s="42"/>
      <c r="D74" s="93"/>
      <c r="E74" s="93"/>
      <c r="F74" s="93"/>
      <c r="G74" s="93"/>
      <c r="H74" s="93"/>
      <c r="I74" s="109"/>
      <c r="J74" s="93"/>
      <c r="K74" s="93"/>
      <c r="L74" s="93"/>
      <c r="M74" s="93"/>
      <c r="N74" s="93"/>
      <c r="O74" s="93"/>
      <c r="P74" s="71"/>
      <c r="Q74" s="71"/>
      <c r="R74" s="71"/>
      <c r="S74" s="71"/>
      <c r="T74" s="76"/>
    </row>
    <row r="75" spans="1:20">
      <c r="A75" s="42"/>
      <c r="B75" s="86" t="str">
        <f>B30</f>
        <v>New Customers</v>
      </c>
      <c r="C75" s="42"/>
      <c r="D75" s="93"/>
      <c r="E75" s="93"/>
      <c r="F75" s="93"/>
      <c r="G75" s="93"/>
      <c r="H75" s="93"/>
      <c r="I75" s="109"/>
      <c r="J75" s="93"/>
      <c r="K75" s="93"/>
      <c r="L75" s="93"/>
      <c r="M75" s="93"/>
      <c r="N75" s="93"/>
      <c r="O75" s="93"/>
      <c r="P75" s="45"/>
      <c r="Q75" s="45"/>
      <c r="R75" s="45"/>
      <c r="S75" s="45"/>
      <c r="T75" s="45"/>
    </row>
    <row r="76" spans="1:20">
      <c r="A76" s="42">
        <v>16</v>
      </c>
      <c r="B76" s="17" t="str">
        <f>B31</f>
        <v>Actual Customers New Since Test Year</v>
      </c>
      <c r="C76" s="42" t="str">
        <f>C31</f>
        <v>Revenue Reports</v>
      </c>
      <c r="D76" s="110">
        <v>962</v>
      </c>
      <c r="E76" s="110">
        <v>999</v>
      </c>
      <c r="F76" s="110">
        <v>1011</v>
      </c>
      <c r="G76" s="110">
        <v>1048</v>
      </c>
      <c r="H76" s="110">
        <v>1099</v>
      </c>
      <c r="I76" s="183">
        <v>1138</v>
      </c>
      <c r="J76" s="110"/>
      <c r="K76" s="110"/>
      <c r="L76" s="110"/>
      <c r="M76" s="110"/>
      <c r="N76" s="110"/>
      <c r="O76" s="110"/>
      <c r="P76" s="74">
        <f>SUM(D76:F76)</f>
        <v>2972</v>
      </c>
      <c r="Q76" s="74">
        <f>SUM(G76:I76)</f>
        <v>3285</v>
      </c>
      <c r="R76" s="74">
        <f>SUM(J76:L76)</f>
        <v>0</v>
      </c>
      <c r="S76" s="74">
        <f>SUM(M76:O76)</f>
        <v>0</v>
      </c>
      <c r="T76" s="75">
        <f>SUM(D76:O76)</f>
        <v>6257</v>
      </c>
    </row>
    <row r="77" spans="1:20">
      <c r="A77" s="42">
        <v>17</v>
      </c>
      <c r="B77" s="17" t="str">
        <f>B32</f>
        <v>Monthly Fixed Cost Adj. Revenue per Customer</v>
      </c>
      <c r="C77" s="42" t="str">
        <f>C32</f>
        <v>Page 3</v>
      </c>
      <c r="D77" s="91">
        <v>114.60477868319028</v>
      </c>
      <c r="E77" s="91">
        <v>111.89659446295262</v>
      </c>
      <c r="F77" s="91">
        <v>107.97718701286492</v>
      </c>
      <c r="G77" s="91">
        <v>104.10032455499321</v>
      </c>
      <c r="H77" s="91">
        <v>108.27939086716127</v>
      </c>
      <c r="I77" s="179">
        <v>102.06260179690749</v>
      </c>
      <c r="J77" s="91">
        <v>121.99387246684321</v>
      </c>
      <c r="K77" s="91">
        <v>115.20759020136482</v>
      </c>
      <c r="L77" s="91">
        <v>100.30738137794938</v>
      </c>
      <c r="M77" s="91">
        <v>109.24887855954138</v>
      </c>
      <c r="N77" s="91">
        <v>105.81136566966622</v>
      </c>
      <c r="O77" s="91">
        <v>120.1000343465651</v>
      </c>
      <c r="P77" s="70">
        <f>P78/P76</f>
        <v>111.43991622870966</v>
      </c>
      <c r="Q77" s="70">
        <f>Q78/Q76</f>
        <v>104.79252101720665</v>
      </c>
      <c r="R77" s="70" t="e">
        <f>R78/R76</f>
        <v>#DIV/0!</v>
      </c>
      <c r="S77" s="70" t="e">
        <f>S78/S76</f>
        <v>#DIV/0!</v>
      </c>
      <c r="T77" s="70">
        <f>T78/T76</f>
        <v>107.94995406316907</v>
      </c>
    </row>
    <row r="78" spans="1:20">
      <c r="A78" s="42">
        <v>18</v>
      </c>
      <c r="B78" s="17" t="str">
        <f>B33</f>
        <v>Fixed Cost Adjustment Revenue</v>
      </c>
      <c r="C78" s="42" t="str">
        <f>C33</f>
        <v>(16) x (17)</v>
      </c>
      <c r="D78" s="93">
        <f t="shared" ref="D78:I78" si="101">D76*D77</f>
        <v>110249.79709322905</v>
      </c>
      <c r="E78" s="93">
        <f t="shared" si="101"/>
        <v>111784.69786848967</v>
      </c>
      <c r="F78" s="93">
        <f t="shared" si="101"/>
        <v>109164.93607000643</v>
      </c>
      <c r="G78" s="93">
        <f t="shared" si="101"/>
        <v>109097.14013363289</v>
      </c>
      <c r="H78" s="93">
        <f t="shared" si="101"/>
        <v>118999.05056301023</v>
      </c>
      <c r="I78" s="109">
        <f t="shared" si="101"/>
        <v>116147.24084488073</v>
      </c>
      <c r="J78" s="93">
        <f t="shared" ref="J78:O78" si="102">J76*J77</f>
        <v>0</v>
      </c>
      <c r="K78" s="93">
        <f t="shared" si="102"/>
        <v>0</v>
      </c>
      <c r="L78" s="93">
        <f t="shared" si="102"/>
        <v>0</v>
      </c>
      <c r="M78" s="93">
        <f t="shared" si="102"/>
        <v>0</v>
      </c>
      <c r="N78" s="93">
        <f t="shared" si="102"/>
        <v>0</v>
      </c>
      <c r="O78" s="93">
        <f t="shared" si="102"/>
        <v>0</v>
      </c>
      <c r="P78" s="71">
        <f>SUM(D78:F78)</f>
        <v>331199.43103172514</v>
      </c>
      <c r="Q78" s="71">
        <f>SUM(G78:I78)</f>
        <v>344243.43154152384</v>
      </c>
      <c r="R78" s="71">
        <f>SUM(J78:L78)</f>
        <v>0</v>
      </c>
      <c r="S78" s="71">
        <f>SUM(M78:O78)</f>
        <v>0</v>
      </c>
      <c r="T78" s="76">
        <f>SUM(D78:O78)</f>
        <v>675442.86257324892</v>
      </c>
    </row>
    <row r="79" spans="1:20" ht="6.6" customHeight="1">
      <c r="A79" s="42"/>
      <c r="B79" s="17"/>
      <c r="C79" s="42"/>
      <c r="D79" s="94"/>
      <c r="E79" s="94"/>
      <c r="F79" s="94"/>
      <c r="G79" s="94"/>
      <c r="H79" s="94"/>
      <c r="I79" s="176"/>
      <c r="J79" s="94"/>
      <c r="K79" s="94"/>
      <c r="L79" s="94"/>
      <c r="M79" s="94"/>
      <c r="N79" s="94"/>
      <c r="O79" s="94"/>
      <c r="P79" s="71"/>
      <c r="Q79" s="71"/>
      <c r="R79" s="71"/>
      <c r="S79" s="71"/>
      <c r="T79" s="76"/>
    </row>
    <row r="80" spans="1:20">
      <c r="A80" s="42">
        <v>19</v>
      </c>
      <c r="B80" s="17" t="str">
        <f t="shared" ref="B80:C84" si="103">B35</f>
        <v>Actual Base Rate Revenue</v>
      </c>
      <c r="C80" s="42" t="str">
        <f t="shared" si="103"/>
        <v>Revenue Reports</v>
      </c>
      <c r="D80" s="111">
        <v>219541.77000000002</v>
      </c>
      <c r="E80" s="111">
        <v>232541.31999999998</v>
      </c>
      <c r="F80" s="111">
        <v>237797.55000000005</v>
      </c>
      <c r="G80" s="111">
        <v>201888.83000000002</v>
      </c>
      <c r="H80" s="111">
        <v>184040.78999999998</v>
      </c>
      <c r="I80" s="184">
        <v>182708.73</v>
      </c>
      <c r="J80" s="111"/>
      <c r="K80" s="111"/>
      <c r="L80" s="111"/>
      <c r="M80" s="111"/>
      <c r="N80" s="111"/>
      <c r="O80" s="111"/>
      <c r="P80" s="71">
        <f t="shared" ref="P80:P82" si="104">SUM(D80:F80)</f>
        <v>689880.64</v>
      </c>
      <c r="Q80" s="71">
        <f t="shared" ref="Q80:Q82" si="105">SUM(G80:I80)</f>
        <v>568638.35</v>
      </c>
      <c r="R80" s="71">
        <f t="shared" ref="R80:R82" si="106">SUM(J80:L80)</f>
        <v>0</v>
      </c>
      <c r="S80" s="71">
        <f t="shared" ref="S80:S82" si="107">SUM(M80:O80)</f>
        <v>0</v>
      </c>
      <c r="T80" s="76">
        <f t="shared" ref="T80:T82" si="108">SUM(D80:O80)</f>
        <v>1258518.99</v>
      </c>
    </row>
    <row r="81" spans="1:28">
      <c r="A81" s="42">
        <v>20</v>
      </c>
      <c r="B81" s="17" t="str">
        <f t="shared" si="103"/>
        <v>Actual Fixed Charge Revenue</v>
      </c>
      <c r="C81" s="42" t="str">
        <f t="shared" si="103"/>
        <v>Revenue Reports</v>
      </c>
      <c r="D81" s="111">
        <v>19880.37</v>
      </c>
      <c r="E81" s="111">
        <v>20467.310000000005</v>
      </c>
      <c r="F81" s="111">
        <v>21103.11</v>
      </c>
      <c r="G81" s="111">
        <v>20629.38</v>
      </c>
      <c r="H81" s="111">
        <v>21471.42</v>
      </c>
      <c r="I81" s="184">
        <v>21602.62</v>
      </c>
      <c r="J81" s="111"/>
      <c r="K81" s="111"/>
      <c r="L81" s="111"/>
      <c r="M81" s="111"/>
      <c r="N81" s="111"/>
      <c r="O81" s="111"/>
      <c r="P81" s="71">
        <f t="shared" si="104"/>
        <v>61450.790000000008</v>
      </c>
      <c r="Q81" s="71">
        <f t="shared" si="105"/>
        <v>63703.42</v>
      </c>
      <c r="R81" s="71">
        <f t="shared" si="106"/>
        <v>0</v>
      </c>
      <c r="S81" s="71">
        <f t="shared" si="107"/>
        <v>0</v>
      </c>
      <c r="T81" s="76">
        <f t="shared" si="108"/>
        <v>125154.21</v>
      </c>
    </row>
    <row r="82" spans="1:28">
      <c r="A82" s="42">
        <v>21</v>
      </c>
      <c r="B82" s="17" t="str">
        <f t="shared" si="103"/>
        <v>Actual Usage (kWhs)</v>
      </c>
      <c r="C82" s="42" t="str">
        <f t="shared" si="103"/>
        <v>Revenue Reports</v>
      </c>
      <c r="D82" s="110">
        <v>2400707.96</v>
      </c>
      <c r="E82" s="110">
        <v>2476061.34</v>
      </c>
      <c r="F82" s="110">
        <v>2525395.7199999997</v>
      </c>
      <c r="G82" s="110">
        <v>2093530.94</v>
      </c>
      <c r="H82" s="110">
        <v>1856600.689</v>
      </c>
      <c r="I82" s="183">
        <v>1843973.83</v>
      </c>
      <c r="J82" s="110"/>
      <c r="K82" s="110"/>
      <c r="L82" s="110"/>
      <c r="M82" s="110"/>
      <c r="N82" s="110"/>
      <c r="O82" s="110"/>
      <c r="P82" s="158">
        <f t="shared" si="104"/>
        <v>7402165.0199999996</v>
      </c>
      <c r="Q82" s="158">
        <f t="shared" si="105"/>
        <v>5794105.4589999998</v>
      </c>
      <c r="R82" s="158">
        <f t="shared" si="106"/>
        <v>0</v>
      </c>
      <c r="S82" s="158">
        <f t="shared" si="107"/>
        <v>0</v>
      </c>
      <c r="T82" s="159">
        <f t="shared" si="108"/>
        <v>13196270.478999998</v>
      </c>
    </row>
    <row r="83" spans="1:28">
      <c r="A83" s="42">
        <v>22</v>
      </c>
      <c r="B83" s="17" t="str">
        <f t="shared" si="103"/>
        <v>Load Change Adjustment Rate ($/kWh)</v>
      </c>
      <c r="C83" s="42" t="str">
        <f t="shared" si="103"/>
        <v>Page 1</v>
      </c>
      <c r="D83" s="95">
        <v>2.4989999999999998E-2</v>
      </c>
      <c r="E83" s="95">
        <v>2.4989999999999998E-2</v>
      </c>
      <c r="F83" s="95">
        <v>2.4989999999999998E-2</v>
      </c>
      <c r="G83" s="95">
        <v>2.4989999999999998E-2</v>
      </c>
      <c r="H83" s="95">
        <v>2.4989999999999998E-2</v>
      </c>
      <c r="I83" s="177">
        <v>2.4989999999999998E-2</v>
      </c>
      <c r="J83" s="95">
        <v>2.4989999999999998E-2</v>
      </c>
      <c r="K83" s="95">
        <v>2.4989999999999998E-2</v>
      </c>
      <c r="L83" s="95">
        <v>2.4989999999999998E-2</v>
      </c>
      <c r="M83" s="95">
        <v>2.4989999999999998E-2</v>
      </c>
      <c r="N83" s="95">
        <v>2.4989999999999998E-2</v>
      </c>
      <c r="O83" s="95">
        <v>2.4989999999999998E-2</v>
      </c>
      <c r="P83" s="45"/>
      <c r="Q83" s="45"/>
      <c r="R83" s="45"/>
      <c r="S83" s="45"/>
      <c r="T83" s="45"/>
    </row>
    <row r="84" spans="1:28">
      <c r="A84" s="42">
        <v>23</v>
      </c>
      <c r="B84" s="17" t="str">
        <f t="shared" si="103"/>
        <v>Variable Power Supply Revenue</v>
      </c>
      <c r="C84" s="42" t="str">
        <f t="shared" si="103"/>
        <v>(21) x (22)</v>
      </c>
      <c r="D84" s="93">
        <f t="shared" ref="D84:I84" si="109">D82*D83</f>
        <v>59993.691920399993</v>
      </c>
      <c r="E84" s="93">
        <f t="shared" si="109"/>
        <v>61876.772886599989</v>
      </c>
      <c r="F84" s="93">
        <f t="shared" si="109"/>
        <v>63109.639042799987</v>
      </c>
      <c r="G84" s="93">
        <f t="shared" si="109"/>
        <v>52317.338190599992</v>
      </c>
      <c r="H84" s="93">
        <f t="shared" si="109"/>
        <v>46396.45121811</v>
      </c>
      <c r="I84" s="109">
        <f t="shared" si="109"/>
        <v>46080.906011699997</v>
      </c>
      <c r="J84" s="93">
        <f t="shared" ref="J84:O84" si="110">J82*J83</f>
        <v>0</v>
      </c>
      <c r="K84" s="93">
        <f t="shared" si="110"/>
        <v>0</v>
      </c>
      <c r="L84" s="93">
        <f t="shared" si="110"/>
        <v>0</v>
      </c>
      <c r="M84" s="93">
        <f t="shared" si="110"/>
        <v>0</v>
      </c>
      <c r="N84" s="93">
        <f t="shared" si="110"/>
        <v>0</v>
      </c>
      <c r="O84" s="93">
        <f t="shared" si="110"/>
        <v>0</v>
      </c>
      <c r="P84" s="45"/>
      <c r="Q84" s="45"/>
      <c r="R84" s="45"/>
      <c r="S84" s="45"/>
      <c r="T84" s="45"/>
    </row>
    <row r="85" spans="1:28">
      <c r="A85" s="42">
        <v>24</v>
      </c>
      <c r="B85" s="17" t="str">
        <f>B40</f>
        <v>Fixed Production and Transmission Rate per kWh</v>
      </c>
      <c r="C85" s="42" t="s">
        <v>99</v>
      </c>
      <c r="D85" s="95">
        <v>2.6960000000000001E-2</v>
      </c>
      <c r="E85" s="95">
        <v>2.6960000000000001E-2</v>
      </c>
      <c r="F85" s="95">
        <v>2.6960000000000001E-2</v>
      </c>
      <c r="G85" s="95">
        <v>2.6960000000000001E-2</v>
      </c>
      <c r="H85" s="95">
        <v>2.6960000000000001E-2</v>
      </c>
      <c r="I85" s="177">
        <v>2.6960000000000001E-2</v>
      </c>
      <c r="J85" s="95">
        <v>2.6960000000000001E-2</v>
      </c>
      <c r="K85" s="95">
        <v>2.6960000000000001E-2</v>
      </c>
      <c r="L85" s="95">
        <v>2.6960000000000001E-2</v>
      </c>
      <c r="M85" s="95">
        <v>2.6960000000000001E-2</v>
      </c>
      <c r="N85" s="95">
        <v>2.6960000000000001E-2</v>
      </c>
      <c r="O85" s="95">
        <v>2.6960000000000001E-2</v>
      </c>
      <c r="P85" s="45"/>
      <c r="Q85" s="45"/>
      <c r="R85" s="45"/>
      <c r="S85" s="45"/>
      <c r="T85" s="45"/>
    </row>
    <row r="86" spans="1:28">
      <c r="A86" s="42">
        <v>25</v>
      </c>
      <c r="B86" s="17" t="str">
        <f>B41</f>
        <v>Fixed Production and Transmission Revenue</v>
      </c>
      <c r="C86" s="42" t="str">
        <f>C41</f>
        <v>(23) x (24)</v>
      </c>
      <c r="D86" s="93">
        <f t="shared" ref="D86:I86" si="111">D82*D85</f>
        <v>64723.0866016</v>
      </c>
      <c r="E86" s="93">
        <f t="shared" si="111"/>
        <v>66754.613726399999</v>
      </c>
      <c r="F86" s="93">
        <f t="shared" si="111"/>
        <v>68084.668611200002</v>
      </c>
      <c r="G86" s="93">
        <f t="shared" si="111"/>
        <v>56441.594142400005</v>
      </c>
      <c r="H86" s="93">
        <f t="shared" si="111"/>
        <v>50053.954575440002</v>
      </c>
      <c r="I86" s="109">
        <f t="shared" si="111"/>
        <v>49713.534456800007</v>
      </c>
      <c r="J86" s="93">
        <f t="shared" ref="J86:O86" si="112">J82*J85</f>
        <v>0</v>
      </c>
      <c r="K86" s="93">
        <f t="shared" si="112"/>
        <v>0</v>
      </c>
      <c r="L86" s="93">
        <f t="shared" si="112"/>
        <v>0</v>
      </c>
      <c r="M86" s="93">
        <f t="shared" si="112"/>
        <v>0</v>
      </c>
      <c r="N86" s="93">
        <f t="shared" si="112"/>
        <v>0</v>
      </c>
      <c r="O86" s="93">
        <f t="shared" si="112"/>
        <v>0</v>
      </c>
      <c r="P86" s="45"/>
      <c r="Q86" s="45"/>
      <c r="R86" s="45"/>
      <c r="S86" s="45"/>
      <c r="T86" s="45"/>
    </row>
    <row r="87" spans="1:28">
      <c r="A87" s="42">
        <v>26</v>
      </c>
      <c r="B87" s="17" t="str">
        <f>B42</f>
        <v>Customer Fixed Cost Adjustment Revenue</v>
      </c>
      <c r="C87" s="42" t="str">
        <f>C42</f>
        <v>(19) - (20) - (23) - (25)</v>
      </c>
      <c r="D87" s="93">
        <f t="shared" ref="D87:I87" si="113">D80-D81-D84-D86</f>
        <v>74944.621478000045</v>
      </c>
      <c r="E87" s="93">
        <f t="shared" si="113"/>
        <v>83442.623386999985</v>
      </c>
      <c r="F87" s="93">
        <f t="shared" si="113"/>
        <v>85500.132346000057</v>
      </c>
      <c r="G87" s="93">
        <f t="shared" si="113"/>
        <v>72500.517667000022</v>
      </c>
      <c r="H87" s="93">
        <f t="shared" si="113"/>
        <v>66118.964206449993</v>
      </c>
      <c r="I87" s="109">
        <f t="shared" si="113"/>
        <v>65311.669531500018</v>
      </c>
      <c r="J87" s="93">
        <f t="shared" ref="J87:O87" si="114">J80-J81-J84-J86</f>
        <v>0</v>
      </c>
      <c r="K87" s="93">
        <f t="shared" si="114"/>
        <v>0</v>
      </c>
      <c r="L87" s="93">
        <f t="shared" si="114"/>
        <v>0</v>
      </c>
      <c r="M87" s="93">
        <f t="shared" si="114"/>
        <v>0</v>
      </c>
      <c r="N87" s="93">
        <f t="shared" si="114"/>
        <v>0</v>
      </c>
      <c r="O87" s="93">
        <f t="shared" si="114"/>
        <v>0</v>
      </c>
      <c r="P87" s="71">
        <f>SUM(D87:F87)</f>
        <v>243887.37721100007</v>
      </c>
      <c r="Q87" s="71">
        <f>SUM(G87:I87)</f>
        <v>203931.15140495004</v>
      </c>
      <c r="R87" s="71">
        <f>SUM(J87:L87)</f>
        <v>0</v>
      </c>
      <c r="S87" s="71">
        <f>SUM(M87:O87)</f>
        <v>0</v>
      </c>
      <c r="T87" s="76">
        <f>SUM(D87:O87)</f>
        <v>447818.52861595008</v>
      </c>
    </row>
    <row r="88" spans="1:28">
      <c r="A88" s="42">
        <v>27</v>
      </c>
      <c r="B88" s="3" t="s">
        <v>27</v>
      </c>
      <c r="C88" s="42"/>
      <c r="D88" s="96">
        <f t="shared" ref="D88:I88" si="115">D87/D76</f>
        <v>77.905011931392977</v>
      </c>
      <c r="E88" s="96">
        <f t="shared" si="115"/>
        <v>83.526149536536522</v>
      </c>
      <c r="F88" s="96">
        <f t="shared" si="115"/>
        <v>84.569863843719148</v>
      </c>
      <c r="G88" s="96">
        <f t="shared" si="115"/>
        <v>69.179883270038189</v>
      </c>
      <c r="H88" s="96">
        <f t="shared" si="115"/>
        <v>60.162842772020014</v>
      </c>
      <c r="I88" s="178">
        <f t="shared" si="115"/>
        <v>57.391625247363812</v>
      </c>
      <c r="J88" s="96" t="e">
        <f t="shared" ref="J88:O88" si="116">J87/J76</f>
        <v>#DIV/0!</v>
      </c>
      <c r="K88" s="96" t="e">
        <f t="shared" si="116"/>
        <v>#DIV/0!</v>
      </c>
      <c r="L88" s="96" t="e">
        <f t="shared" si="116"/>
        <v>#DIV/0!</v>
      </c>
      <c r="M88" s="96" t="e">
        <f t="shared" si="116"/>
        <v>#DIV/0!</v>
      </c>
      <c r="N88" s="96" t="e">
        <f t="shared" si="116"/>
        <v>#DIV/0!</v>
      </c>
      <c r="O88" s="96" t="e">
        <f t="shared" si="116"/>
        <v>#DIV/0!</v>
      </c>
      <c r="P88" s="78">
        <f>P87/P76</f>
        <v>82.06170161877526</v>
      </c>
      <c r="Q88" s="78">
        <f>Q87/Q76</f>
        <v>62.079498144581443</v>
      </c>
      <c r="R88" s="78" t="e">
        <f t="shared" ref="R88:S88" si="117">R87/R76</f>
        <v>#DIV/0!</v>
      </c>
      <c r="S88" s="78" t="e">
        <f t="shared" si="117"/>
        <v>#DIV/0!</v>
      </c>
      <c r="T88" s="78">
        <f>T87/T76</f>
        <v>71.570805276642176</v>
      </c>
    </row>
    <row r="89" spans="1:28">
      <c r="A89" s="42">
        <v>28</v>
      </c>
      <c r="B89" s="17" t="str">
        <f>B44</f>
        <v>New Customer Deferral - Surcharge (Rebate)</v>
      </c>
      <c r="C89" s="42" t="str">
        <f>C44</f>
        <v>(7) - (26)</v>
      </c>
      <c r="D89" s="93">
        <f t="shared" ref="D89:I89" si="118">D78-D87</f>
        <v>35305.175615229004</v>
      </c>
      <c r="E89" s="93">
        <f t="shared" si="118"/>
        <v>28342.07448148969</v>
      </c>
      <c r="F89" s="93">
        <f t="shared" si="118"/>
        <v>23664.803724006371</v>
      </c>
      <c r="G89" s="93">
        <f t="shared" si="118"/>
        <v>36596.622466632864</v>
      </c>
      <c r="H89" s="93">
        <f t="shared" si="118"/>
        <v>52880.086356560234</v>
      </c>
      <c r="I89" s="109">
        <f t="shared" si="118"/>
        <v>50835.571313380708</v>
      </c>
      <c r="J89" s="93">
        <f t="shared" ref="J89:O89" si="119">J78-J87</f>
        <v>0</v>
      </c>
      <c r="K89" s="93">
        <f t="shared" si="119"/>
        <v>0</v>
      </c>
      <c r="L89" s="93">
        <f t="shared" si="119"/>
        <v>0</v>
      </c>
      <c r="M89" s="93">
        <f t="shared" si="119"/>
        <v>0</v>
      </c>
      <c r="N89" s="93">
        <f t="shared" si="119"/>
        <v>0</v>
      </c>
      <c r="O89" s="93">
        <f t="shared" si="119"/>
        <v>0</v>
      </c>
      <c r="P89" s="71">
        <f>SUM(D89:F89)</f>
        <v>87312.053820725065</v>
      </c>
      <c r="Q89" s="71">
        <f>SUM(G89:I89)</f>
        <v>140312.2801365738</v>
      </c>
      <c r="R89" s="71">
        <f>SUM(J89:L89)</f>
        <v>0</v>
      </c>
      <c r="S89" s="71">
        <f>SUM(M89:O89)</f>
        <v>0</v>
      </c>
      <c r="T89" s="76">
        <f>SUM(D89:O89)</f>
        <v>227624.33395729886</v>
      </c>
    </row>
    <row r="90" spans="1:28" ht="7.15" customHeight="1">
      <c r="A90" s="42"/>
      <c r="B90" s="17"/>
      <c r="C90" s="42"/>
      <c r="D90" s="93"/>
      <c r="E90" s="93"/>
      <c r="F90" s="93"/>
      <c r="G90" s="93"/>
      <c r="H90" s="93"/>
      <c r="I90" s="109"/>
      <c r="J90" s="93"/>
      <c r="K90" s="93"/>
      <c r="L90" s="93"/>
      <c r="M90" s="93"/>
      <c r="N90" s="93"/>
      <c r="O90" s="93"/>
      <c r="P90" s="45"/>
      <c r="Q90" s="45"/>
      <c r="R90" s="45"/>
      <c r="S90" s="45"/>
      <c r="T90" s="45"/>
    </row>
    <row r="91" spans="1:28">
      <c r="A91" s="98">
        <v>29</v>
      </c>
      <c r="B91" s="99" t="s">
        <v>100</v>
      </c>
      <c r="C91" s="98" t="str">
        <f>C46</f>
        <v>(15) + (28)</v>
      </c>
      <c r="D91" s="100">
        <f t="shared" ref="D91:O91" si="120">D73+D89</f>
        <v>194355.0227641075</v>
      </c>
      <c r="E91" s="100">
        <f t="shared" si="120"/>
        <v>-113726.18206690942</v>
      </c>
      <c r="F91" s="100">
        <f t="shared" si="120"/>
        <v>99603.794339989865</v>
      </c>
      <c r="G91" s="100">
        <f t="shared" si="120"/>
        <v>-85189.269907459849</v>
      </c>
      <c r="H91" s="100">
        <f t="shared" si="120"/>
        <v>248819.60953539656</v>
      </c>
      <c r="I91" s="180">
        <f t="shared" si="120"/>
        <v>-236645.15415916455</v>
      </c>
      <c r="J91" s="100">
        <f t="shared" si="120"/>
        <v>0</v>
      </c>
      <c r="K91" s="100">
        <f t="shared" si="120"/>
        <v>0</v>
      </c>
      <c r="L91" s="100">
        <f t="shared" si="120"/>
        <v>0</v>
      </c>
      <c r="M91" s="100">
        <f t="shared" si="120"/>
        <v>0</v>
      </c>
      <c r="N91" s="100">
        <f t="shared" si="120"/>
        <v>0</v>
      </c>
      <c r="O91" s="100">
        <f t="shared" si="120"/>
        <v>0</v>
      </c>
      <c r="P91" s="100">
        <f t="shared" ref="P91:P92" si="121">SUM(D91:F91)</f>
        <v>180232.63503718795</v>
      </c>
      <c r="Q91" s="100">
        <f t="shared" ref="Q91:Q92" si="122">SUM(G91:I91)</f>
        <v>-73014.814531227836</v>
      </c>
      <c r="R91" s="100">
        <f t="shared" ref="R91:R92" si="123">SUM(J91:L91)</f>
        <v>0</v>
      </c>
      <c r="S91" s="100">
        <f t="shared" ref="S91:S92" si="124">SUM(M91:O91)</f>
        <v>0</v>
      </c>
      <c r="T91" s="100">
        <f>SUM(D91:O91)</f>
        <v>107217.82050596012</v>
      </c>
      <c r="V91" s="131">
        <f>J91+J92</f>
        <v>0</v>
      </c>
      <c r="W91" s="131">
        <f>K91+K92</f>
        <v>0</v>
      </c>
      <c r="X91" s="131">
        <f t="shared" ref="X91" si="125">L91+L92</f>
        <v>0</v>
      </c>
      <c r="Y91" s="131"/>
      <c r="Z91" s="131"/>
      <c r="AA91" s="131"/>
      <c r="AB91" s="131"/>
    </row>
    <row r="92" spans="1:28">
      <c r="A92" s="98">
        <v>30</v>
      </c>
      <c r="B92" s="99" t="str">
        <f>B47</f>
        <v>Deferral - Revenue Related Expenses</v>
      </c>
      <c r="C92" s="98" t="str">
        <f>C47</f>
        <v>Rev Conv Factor</v>
      </c>
      <c r="D92" s="100">
        <f>D91*-0.005838</f>
        <v>-1134.6446228968596</v>
      </c>
      <c r="E92" s="100">
        <f t="shared" ref="E92:G92" si="126">E91*-0.005838</f>
        <v>663.93345090661717</v>
      </c>
      <c r="F92" s="100">
        <f t="shared" si="126"/>
        <v>-581.48695135686091</v>
      </c>
      <c r="G92" s="100">
        <f t="shared" si="126"/>
        <v>497.33495771975061</v>
      </c>
      <c r="H92" s="100">
        <f t="shared" ref="H92" si="127">H91*-0.005838</f>
        <v>-1452.6088804676451</v>
      </c>
      <c r="I92" s="180">
        <f t="shared" ref="I92:J92" si="128">I91*-0.005838</f>
        <v>1381.5344099812028</v>
      </c>
      <c r="J92" s="100">
        <f t="shared" si="128"/>
        <v>0</v>
      </c>
      <c r="K92" s="100">
        <f t="shared" ref="K92" si="129">K91*-0.005838</f>
        <v>0</v>
      </c>
      <c r="L92" s="100">
        <f t="shared" ref="L92:M92" si="130">L91*-0.005838</f>
        <v>0</v>
      </c>
      <c r="M92" s="100">
        <f t="shared" si="130"/>
        <v>0</v>
      </c>
      <c r="N92" s="100">
        <f t="shared" ref="N92" si="131">N91*-0.005838</f>
        <v>0</v>
      </c>
      <c r="O92" s="100">
        <f t="shared" ref="O92" si="132">O91*-0.005838</f>
        <v>0</v>
      </c>
      <c r="P92" s="100">
        <f t="shared" si="121"/>
        <v>-1052.1981233471033</v>
      </c>
      <c r="Q92" s="100">
        <f t="shared" si="122"/>
        <v>426.26048723330825</v>
      </c>
      <c r="R92" s="100">
        <f t="shared" si="123"/>
        <v>0</v>
      </c>
      <c r="S92" s="100">
        <f t="shared" si="124"/>
        <v>0</v>
      </c>
      <c r="T92" s="100">
        <f>SUM(D92:O92)</f>
        <v>-625.93763611379518</v>
      </c>
    </row>
    <row r="93" spans="1:28">
      <c r="A93" s="42">
        <v>31</v>
      </c>
      <c r="B93" s="17"/>
      <c r="C93" s="3" t="str">
        <f>C48</f>
        <v>Customer Deposit Rate</v>
      </c>
      <c r="D93" s="103">
        <f>D48</f>
        <v>0.02</v>
      </c>
      <c r="E93" s="103">
        <f t="shared" ref="E93:O93" si="133">E48</f>
        <v>0.02</v>
      </c>
      <c r="F93" s="103">
        <f t="shared" si="133"/>
        <v>0.02</v>
      </c>
      <c r="G93" s="103">
        <f t="shared" si="133"/>
        <v>0.02</v>
      </c>
      <c r="H93" s="103">
        <f t="shared" si="133"/>
        <v>0.02</v>
      </c>
      <c r="I93" s="103">
        <f t="shared" si="133"/>
        <v>0.02</v>
      </c>
      <c r="J93" s="103">
        <f t="shared" si="133"/>
        <v>0</v>
      </c>
      <c r="K93" s="103">
        <f t="shared" si="133"/>
        <v>0</v>
      </c>
      <c r="L93" s="103">
        <f t="shared" si="133"/>
        <v>0</v>
      </c>
      <c r="M93" s="103">
        <f t="shared" si="133"/>
        <v>0</v>
      </c>
      <c r="N93" s="103">
        <f t="shared" si="133"/>
        <v>0</v>
      </c>
      <c r="O93" s="103">
        <f t="shared" si="133"/>
        <v>0</v>
      </c>
      <c r="P93" s="45"/>
      <c r="Q93" s="45"/>
      <c r="R93" s="45"/>
      <c r="S93" s="45"/>
      <c r="T93" s="45"/>
    </row>
    <row r="94" spans="1:28">
      <c r="A94" s="98">
        <v>32</v>
      </c>
      <c r="B94" s="99" t="str">
        <f>B49</f>
        <v>Interest on Deferral</v>
      </c>
      <c r="C94" s="98" t="str">
        <f>C49</f>
        <v>Avg Balance Calc</v>
      </c>
      <c r="D94" s="104">
        <f>(D91+D92)/2*D93/12</f>
        <v>161.01698178434222</v>
      </c>
      <c r="E94" s="104">
        <f>(D97+(E91+E92)/2)*E93/12</f>
        <v>228.08378469165598</v>
      </c>
      <c r="F94" s="104">
        <f t="shared" ref="F94" si="134">(E97+(F91+F92)/2)*F93/12</f>
        <v>216.76397331000058</v>
      </c>
      <c r="G94" s="104">
        <f t="shared" ref="G94" si="135">(F97+(G91+G92)/2)*G93/12</f>
        <v>229.06722363126133</v>
      </c>
      <c r="H94" s="104">
        <f t="shared" ref="H94" si="136">(G97+(H91+H92)/2)*H93/12</f>
        <v>365.01155709163737</v>
      </c>
      <c r="I94" s="182">
        <f t="shared" ref="I94" si="137">(H97+(I91+I92)/2)*I93/12</f>
        <v>375.70606044157813</v>
      </c>
      <c r="J94" s="104">
        <f t="shared" ref="J94:O94" si="138">(I97+(J91+J92)/2)*J93/12</f>
        <v>0</v>
      </c>
      <c r="K94" s="104">
        <f t="shared" si="138"/>
        <v>0</v>
      </c>
      <c r="L94" s="104">
        <f t="shared" si="138"/>
        <v>0</v>
      </c>
      <c r="M94" s="104">
        <f t="shared" si="138"/>
        <v>0</v>
      </c>
      <c r="N94" s="104">
        <f>(M97+(N91+N92)/2)*N93/12</f>
        <v>0</v>
      </c>
      <c r="O94" s="104">
        <f t="shared" si="138"/>
        <v>0</v>
      </c>
      <c r="P94" s="104">
        <f>SUM(D94:F94)</f>
        <v>605.86473978599872</v>
      </c>
      <c r="Q94" s="104">
        <f>SUM(G94:I94)</f>
        <v>969.7848411644768</v>
      </c>
      <c r="R94" s="104">
        <f>SUM(J94:L94)</f>
        <v>0</v>
      </c>
      <c r="S94" s="104">
        <f>SUM(M94:O94)</f>
        <v>0</v>
      </c>
      <c r="T94" s="104">
        <f>SUM(D94:O94)</f>
        <v>1575.6495809504754</v>
      </c>
    </row>
    <row r="95" spans="1:28">
      <c r="A95" s="105">
        <v>33</v>
      </c>
      <c r="B95" s="106" t="s">
        <v>29</v>
      </c>
      <c r="C95" s="105"/>
      <c r="D95" s="108">
        <f t="shared" ref="D95:I95" si="139">D91+D92+D94</f>
        <v>193381.39512299499</v>
      </c>
      <c r="E95" s="108">
        <f t="shared" si="139"/>
        <v>-112834.16483131115</v>
      </c>
      <c r="F95" s="108">
        <f t="shared" si="139"/>
        <v>99239.071361943017</v>
      </c>
      <c r="G95" s="108">
        <f t="shared" si="139"/>
        <v>-84462.867726108831</v>
      </c>
      <c r="H95" s="108">
        <f t="shared" si="139"/>
        <v>247732.01221202055</v>
      </c>
      <c r="I95" s="193">
        <f t="shared" si="139"/>
        <v>-234887.91368874177</v>
      </c>
      <c r="J95" s="108">
        <f t="shared" ref="J95:O95" si="140">J91+J92+J94</f>
        <v>0</v>
      </c>
      <c r="K95" s="108">
        <f t="shared" si="140"/>
        <v>0</v>
      </c>
      <c r="L95" s="108">
        <f>L91+L92+L94</f>
        <v>0</v>
      </c>
      <c r="M95" s="108">
        <f t="shared" si="140"/>
        <v>0</v>
      </c>
      <c r="N95" s="108">
        <f t="shared" si="140"/>
        <v>0</v>
      </c>
      <c r="O95" s="108">
        <f t="shared" si="140"/>
        <v>0</v>
      </c>
      <c r="P95" s="108">
        <f>P91+P92+P94</f>
        <v>179786.30165362684</v>
      </c>
      <c r="Q95" s="108">
        <f t="shared" ref="Q95" si="141">Q91+Q92+Q94</f>
        <v>-71618.769202830052</v>
      </c>
      <c r="R95" s="108">
        <f t="shared" ref="R95" si="142">R91+R92+R94</f>
        <v>0</v>
      </c>
      <c r="S95" s="108">
        <f t="shared" ref="S95" si="143">S91+S92+S94</f>
        <v>0</v>
      </c>
      <c r="T95" s="108">
        <f t="shared" ref="T95" si="144">T91+T92+T94</f>
        <v>108167.53245079679</v>
      </c>
    </row>
    <row r="96" spans="1:28" ht="7.15" customHeight="1">
      <c r="A96" s="42"/>
      <c r="B96" s="17"/>
      <c r="C96" s="42"/>
      <c r="D96" s="94"/>
      <c r="E96" s="94"/>
      <c r="F96" s="94"/>
      <c r="G96" s="94"/>
      <c r="H96" s="94"/>
      <c r="I96" s="176"/>
      <c r="J96" s="94"/>
      <c r="K96" s="94"/>
      <c r="L96" s="94"/>
      <c r="M96" s="94"/>
      <c r="N96" s="94"/>
      <c r="O96" s="94"/>
    </row>
    <row r="97" spans="1:15" ht="26.25">
      <c r="A97" s="90">
        <v>34</v>
      </c>
      <c r="B97" s="113" t="s">
        <v>101</v>
      </c>
      <c r="C97" s="90" t="str">
        <f>C52</f>
        <v>Σ((29), (30), (32))</v>
      </c>
      <c r="D97" s="114">
        <f>D91+D92+D94</f>
        <v>193381.39512299499</v>
      </c>
      <c r="E97" s="114">
        <f t="shared" ref="E97:F97" si="145">D97+E91+E92+E94</f>
        <v>80547.230291683838</v>
      </c>
      <c r="F97" s="114">
        <f t="shared" si="145"/>
        <v>179786.30165362684</v>
      </c>
      <c r="G97" s="114">
        <f>F97+G91+G92+G94</f>
        <v>95323.43392751801</v>
      </c>
      <c r="H97" s="114">
        <f t="shared" ref="H97:M97" si="146">G97+H91+H92+H94</f>
        <v>343055.44613953854</v>
      </c>
      <c r="I97" s="187">
        <f t="shared" si="146"/>
        <v>108167.53245079677</v>
      </c>
      <c r="J97" s="114">
        <f t="shared" si="146"/>
        <v>108167.53245079677</v>
      </c>
      <c r="K97" s="114">
        <f t="shared" si="146"/>
        <v>108167.53245079677</v>
      </c>
      <c r="L97" s="114">
        <f t="shared" si="146"/>
        <v>108167.53245079677</v>
      </c>
      <c r="M97" s="114">
        <f t="shared" si="146"/>
        <v>108167.53245079677</v>
      </c>
      <c r="N97" s="114">
        <f>M97+N91+N92+N94</f>
        <v>108167.53245079677</v>
      </c>
      <c r="O97" s="114">
        <f>N97+O91+O92+O94</f>
        <v>108167.53245079677</v>
      </c>
    </row>
    <row r="98" spans="1:15" ht="9" customHeight="1">
      <c r="A98" s="42"/>
      <c r="B98" s="17"/>
      <c r="C98" s="17"/>
      <c r="D98" s="3"/>
      <c r="E98" s="3"/>
      <c r="F98" s="3"/>
      <c r="G98" s="3"/>
      <c r="H98" s="3"/>
      <c r="I98" s="173"/>
      <c r="J98" s="3"/>
      <c r="K98" s="3"/>
      <c r="L98" s="3"/>
      <c r="M98" s="3"/>
      <c r="N98" s="3"/>
      <c r="O98" s="3"/>
    </row>
    <row r="99" spans="1:15" ht="26.25">
      <c r="A99" s="90">
        <v>35</v>
      </c>
      <c r="B99" s="115" t="s">
        <v>102</v>
      </c>
      <c r="C99" s="79" t="str">
        <f>"Res line("&amp;A$52&amp;") +Non-Res line ("&amp;A97&amp;")"</f>
        <v>Res line(34) +Non-Res line (34)</v>
      </c>
      <c r="D99" s="116">
        <f t="shared" ref="D99:O99" si="147">D52+D97</f>
        <v>1046534.5420529555</v>
      </c>
      <c r="E99" s="116">
        <f t="shared" si="147"/>
        <v>130573.4690496244</v>
      </c>
      <c r="F99" s="116">
        <f t="shared" si="147"/>
        <v>-436810.9766329556</v>
      </c>
      <c r="G99" s="116">
        <f t="shared" si="147"/>
        <v>-137807.11687407515</v>
      </c>
      <c r="H99" s="116">
        <f t="shared" si="147"/>
        <v>193242.99300642143</v>
      </c>
      <c r="I99" s="194">
        <f t="shared" si="147"/>
        <v>-264748.4274751757</v>
      </c>
      <c r="J99" s="116">
        <f t="shared" si="147"/>
        <v>-264748.4274751757</v>
      </c>
      <c r="K99" s="116">
        <f t="shared" si="147"/>
        <v>-264748.4274751757</v>
      </c>
      <c r="L99" s="116">
        <f t="shared" si="147"/>
        <v>-264748.4274751757</v>
      </c>
      <c r="M99" s="116">
        <f t="shared" si="147"/>
        <v>-264748.4274751757</v>
      </c>
      <c r="N99" s="116">
        <f t="shared" si="147"/>
        <v>-264748.4274751757</v>
      </c>
      <c r="O99" s="116">
        <f t="shared" si="147"/>
        <v>-264748.4274751757</v>
      </c>
    </row>
    <row r="100" spans="1:15">
      <c r="D100" s="213"/>
      <c r="E100" s="213"/>
      <c r="F100" s="136"/>
      <c r="G100" s="136"/>
      <c r="H100" s="136"/>
      <c r="I100" s="136"/>
      <c r="J100" s="136"/>
      <c r="K100" s="136"/>
      <c r="L100" s="136"/>
      <c r="M100" s="136"/>
      <c r="N100" s="136"/>
      <c r="O100" s="136"/>
    </row>
  </sheetData>
  <mergeCells count="2">
    <mergeCell ref="A6:A7"/>
    <mergeCell ref="D100:E100"/>
  </mergeCells>
  <printOptions horizontalCentered="1"/>
  <pageMargins left="0.7" right="0.55000000000000004" top="0.81" bottom="0.47" header="0.39" footer="0.3"/>
  <pageSetup scale="64" fitToHeight="2" orientation="landscape" r:id="rId1"/>
  <headerFooter scaleWithDoc="0">
    <oddHeader>&amp;C&amp;8Avista Corporation Fixed Cost Adjustment Mechanism
Idaho Jurisdiction
Quarterly Report for 2nd Quarter 2019</oddHeader>
    <oddFooter>&amp;C&amp;F / &amp;A&amp;RPage &amp;P of 12</oddFooter>
  </headerFooter>
  <rowBreaks count="1" manualBreakCount="1">
    <brk id="5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140625" defaultRowHeight="15"/>
  <cols>
    <col min="1" max="16384" width="9.140625" style="134"/>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01"/>
  <sheetViews>
    <sheetView tabSelected="1" topLeftCell="A38" zoomScaleNormal="100" zoomScaleSheetLayoutView="95" workbookViewId="0">
      <selection activeCell="V102" sqref="V102"/>
    </sheetView>
  </sheetViews>
  <sheetFormatPr defaultRowHeight="15"/>
  <cols>
    <col min="1" max="1" width="5" customWidth="1"/>
    <col min="2" max="2" width="41.140625" bestFit="1" customWidth="1"/>
    <col min="3" max="3" width="18.85546875" bestFit="1" customWidth="1"/>
    <col min="4" max="4" width="11.28515625" hidden="1" customWidth="1"/>
    <col min="5" max="5" width="11.85546875" hidden="1" customWidth="1"/>
    <col min="6" max="6" width="12.28515625" hidden="1" customWidth="1"/>
    <col min="7" max="7" width="12.42578125" customWidth="1"/>
    <col min="8" max="9" width="11.7109375" customWidth="1"/>
    <col min="10" max="10" width="11.28515625" hidden="1" customWidth="1"/>
    <col min="11" max="11" width="10.42578125" hidden="1" customWidth="1"/>
    <col min="12" max="15" width="11.7109375" hidden="1" customWidth="1"/>
    <col min="16" max="16" width="12.5703125" customWidth="1"/>
    <col min="17" max="17" width="11.7109375" customWidth="1"/>
    <col min="18" max="18" width="11.7109375" hidden="1" customWidth="1"/>
    <col min="19" max="19" width="12.7109375" hidden="1" customWidth="1"/>
    <col min="20" max="20" width="12.5703125" customWidth="1"/>
    <col min="22" max="22" width="10" bestFit="1" customWidth="1"/>
    <col min="23" max="23" width="12.28515625" bestFit="1" customWidth="1"/>
    <col min="24" max="25" width="10.7109375" bestFit="1" customWidth="1"/>
    <col min="26" max="26" width="9.7109375" bestFit="1" customWidth="1"/>
    <col min="27" max="27" width="10" bestFit="1" customWidth="1"/>
    <col min="28" max="28" width="9.7109375" bestFit="1" customWidth="1"/>
  </cols>
  <sheetData>
    <row r="1" spans="1:20" ht="15.75">
      <c r="A1" s="80" t="s">
        <v>0</v>
      </c>
      <c r="B1" s="80"/>
      <c r="C1" s="80"/>
      <c r="D1" s="80"/>
      <c r="E1" s="80"/>
      <c r="F1" s="80"/>
      <c r="G1" s="80"/>
      <c r="H1" s="80"/>
      <c r="I1" s="80"/>
      <c r="J1" s="80"/>
      <c r="K1" s="80"/>
      <c r="L1" s="80"/>
      <c r="M1" s="80"/>
      <c r="N1" s="80"/>
      <c r="O1" s="80"/>
    </row>
    <row r="2" spans="1:20" ht="15.75">
      <c r="A2" s="80" t="s">
        <v>116</v>
      </c>
      <c r="B2" s="80"/>
      <c r="C2" s="80"/>
      <c r="D2" s="80"/>
      <c r="E2" s="80"/>
      <c r="F2" s="80"/>
      <c r="G2" s="80"/>
      <c r="H2" s="80"/>
      <c r="I2" s="80"/>
      <c r="J2" s="80"/>
      <c r="K2" s="80"/>
      <c r="L2" s="80"/>
      <c r="M2" s="80"/>
      <c r="N2" s="80"/>
      <c r="O2" s="80"/>
    </row>
    <row r="3" spans="1:20" ht="15.75">
      <c r="A3" s="81" t="s">
        <v>170</v>
      </c>
      <c r="B3" s="80"/>
      <c r="C3" s="80"/>
      <c r="D3" s="80"/>
      <c r="E3" s="80"/>
      <c r="F3" s="80"/>
      <c r="G3" s="80"/>
      <c r="H3" s="80"/>
      <c r="I3" s="80"/>
      <c r="J3" s="80"/>
      <c r="K3" s="80"/>
      <c r="L3" s="80"/>
      <c r="M3" s="80"/>
      <c r="N3" s="80"/>
      <c r="O3" s="80"/>
    </row>
    <row r="4" spans="1:20" ht="16.149999999999999" customHeight="1">
      <c r="A4" s="80" t="s">
        <v>172</v>
      </c>
      <c r="B4" s="80"/>
      <c r="C4" s="80"/>
      <c r="D4" s="80"/>
      <c r="E4" s="80"/>
      <c r="F4" s="80"/>
      <c r="G4" s="80"/>
      <c r="H4" s="80"/>
      <c r="I4" s="80"/>
      <c r="J4" s="80"/>
      <c r="K4" s="80"/>
      <c r="L4" s="80"/>
      <c r="M4" s="80"/>
      <c r="N4" s="80"/>
      <c r="O4" s="80"/>
    </row>
    <row r="5" spans="1:20" ht="15.6" customHeight="1">
      <c r="A5" s="80" t="s">
        <v>171</v>
      </c>
      <c r="B5" s="66"/>
      <c r="C5" s="66"/>
      <c r="D5" s="84"/>
      <c r="E5" s="84"/>
      <c r="F5" s="84"/>
      <c r="G5" s="84"/>
      <c r="H5" s="84"/>
      <c r="I5" s="84"/>
      <c r="J5" s="84"/>
      <c r="K5" s="84"/>
      <c r="L5" s="84"/>
      <c r="M5" s="84"/>
      <c r="N5" s="84"/>
      <c r="O5" s="84"/>
    </row>
    <row r="6" spans="1:20" ht="28.9" customHeight="1">
      <c r="A6" s="211" t="s">
        <v>1</v>
      </c>
      <c r="B6" s="17"/>
      <c r="C6" s="17"/>
      <c r="D6" s="3"/>
      <c r="E6" s="3"/>
      <c r="F6" s="3"/>
      <c r="G6" s="3"/>
      <c r="H6" s="3"/>
      <c r="I6" s="3"/>
      <c r="J6" s="3"/>
      <c r="K6" s="3"/>
      <c r="L6" s="3"/>
      <c r="M6" s="3"/>
      <c r="N6" s="3"/>
      <c r="O6" s="3"/>
      <c r="P6" s="41" t="s">
        <v>165</v>
      </c>
      <c r="Q6" s="41" t="s">
        <v>166</v>
      </c>
      <c r="R6" s="41" t="s">
        <v>167</v>
      </c>
      <c r="S6" s="41" t="s">
        <v>168</v>
      </c>
      <c r="T6" s="40" t="s">
        <v>169</v>
      </c>
    </row>
    <row r="7" spans="1:20" ht="13.9" customHeight="1">
      <c r="A7" s="212"/>
      <c r="B7" s="68"/>
      <c r="C7" s="65" t="s">
        <v>2</v>
      </c>
      <c r="D7" s="85">
        <v>43466</v>
      </c>
      <c r="E7" s="85">
        <f t="shared" ref="E7:O7" si="0">EDATE(D7,1)</f>
        <v>43497</v>
      </c>
      <c r="F7" s="85">
        <f t="shared" si="0"/>
        <v>43525</v>
      </c>
      <c r="G7" s="85">
        <f t="shared" si="0"/>
        <v>43556</v>
      </c>
      <c r="H7" s="85">
        <f t="shared" si="0"/>
        <v>43586</v>
      </c>
      <c r="I7" s="85">
        <f t="shared" si="0"/>
        <v>43617</v>
      </c>
      <c r="J7" s="85">
        <f t="shared" si="0"/>
        <v>43647</v>
      </c>
      <c r="K7" s="85">
        <f t="shared" si="0"/>
        <v>43678</v>
      </c>
      <c r="L7" s="85">
        <f t="shared" si="0"/>
        <v>43709</v>
      </c>
      <c r="M7" s="85">
        <f t="shared" si="0"/>
        <v>43739</v>
      </c>
      <c r="N7" s="85">
        <f t="shared" si="0"/>
        <v>43770</v>
      </c>
      <c r="O7" s="85">
        <f t="shared" si="0"/>
        <v>43800</v>
      </c>
      <c r="P7" s="69" t="s">
        <v>3</v>
      </c>
      <c r="Q7" s="14" t="s">
        <v>3</v>
      </c>
      <c r="R7" s="14" t="s">
        <v>3</v>
      </c>
      <c r="S7" s="14" t="s">
        <v>3</v>
      </c>
      <c r="T7" s="14" t="s">
        <v>3</v>
      </c>
    </row>
    <row r="8" spans="1:20">
      <c r="A8" s="42"/>
      <c r="B8" s="42" t="s">
        <v>4</v>
      </c>
      <c r="C8" s="42" t="s">
        <v>5</v>
      </c>
      <c r="D8" s="42" t="s">
        <v>6</v>
      </c>
      <c r="E8" s="42" t="s">
        <v>7</v>
      </c>
      <c r="F8" s="42" t="s">
        <v>8</v>
      </c>
      <c r="G8" s="42" t="s">
        <v>9</v>
      </c>
      <c r="H8" s="42" t="s">
        <v>10</v>
      </c>
      <c r="I8" s="195" t="s">
        <v>11</v>
      </c>
      <c r="J8" s="42" t="s">
        <v>12</v>
      </c>
      <c r="K8" s="42" t="s">
        <v>13</v>
      </c>
      <c r="L8" s="42" t="s">
        <v>14</v>
      </c>
      <c r="M8" s="42" t="s">
        <v>15</v>
      </c>
      <c r="N8" s="42" t="s">
        <v>16</v>
      </c>
      <c r="O8" s="42" t="s">
        <v>17</v>
      </c>
      <c r="P8" s="42" t="s">
        <v>18</v>
      </c>
      <c r="Q8" s="42" t="s">
        <v>122</v>
      </c>
      <c r="R8" s="42" t="s">
        <v>123</v>
      </c>
      <c r="S8" s="42" t="s">
        <v>124</v>
      </c>
      <c r="T8" s="42" t="s">
        <v>125</v>
      </c>
    </row>
    <row r="9" spans="1:20">
      <c r="A9" s="42"/>
      <c r="B9" s="1" t="s">
        <v>19</v>
      </c>
      <c r="C9" s="42"/>
      <c r="D9" s="3"/>
      <c r="E9" s="3"/>
      <c r="F9" s="3"/>
      <c r="G9" s="3"/>
      <c r="H9" s="3"/>
      <c r="I9" s="173"/>
      <c r="J9" s="3"/>
      <c r="K9" s="3"/>
      <c r="L9" s="3"/>
      <c r="M9" s="3"/>
      <c r="N9" s="3"/>
      <c r="O9" s="3"/>
    </row>
    <row r="10" spans="1:20" ht="6" customHeight="1">
      <c r="A10" s="42"/>
      <c r="B10" s="86"/>
      <c r="C10" s="42"/>
      <c r="D10" s="3"/>
      <c r="E10" s="3"/>
      <c r="F10" s="3"/>
      <c r="G10" s="3"/>
      <c r="H10" s="3"/>
      <c r="I10" s="173"/>
      <c r="J10" s="3"/>
      <c r="K10" s="3"/>
      <c r="L10" s="3"/>
      <c r="M10" s="3"/>
      <c r="N10" s="3"/>
      <c r="O10" s="3"/>
    </row>
    <row r="11" spans="1:20">
      <c r="A11" s="42">
        <v>1</v>
      </c>
      <c r="B11" s="17" t="s">
        <v>74</v>
      </c>
      <c r="C11" s="42" t="s">
        <v>75</v>
      </c>
      <c r="D11" s="117">
        <v>83824</v>
      </c>
      <c r="E11" s="117">
        <v>83731</v>
      </c>
      <c r="F11" s="117">
        <v>83827</v>
      </c>
      <c r="G11" s="117">
        <v>83998</v>
      </c>
      <c r="H11" s="117">
        <v>84107</v>
      </c>
      <c r="I11" s="196">
        <v>83969</v>
      </c>
      <c r="J11" s="117"/>
      <c r="K11" s="117"/>
      <c r="L11" s="117"/>
      <c r="M11" s="117"/>
      <c r="N11" s="117"/>
      <c r="O11" s="117"/>
      <c r="P11" s="43">
        <f t="shared" ref="P11:P14" si="1">SUM(D11:F11)</f>
        <v>251382</v>
      </c>
      <c r="Q11" s="43">
        <f t="shared" ref="Q11:Q14" si="2">SUM(G11:I11)</f>
        <v>252074</v>
      </c>
      <c r="R11" s="43">
        <f t="shared" ref="R11:R14" si="3">SUM(J11:L11)</f>
        <v>0</v>
      </c>
      <c r="S11" s="43">
        <f t="shared" ref="S11:S14" si="4">SUM(M11:O11)</f>
        <v>0</v>
      </c>
      <c r="T11" s="43">
        <f t="shared" ref="T11:T14" si="5">SUM(D11:O11)</f>
        <v>503456</v>
      </c>
    </row>
    <row r="12" spans="1:20">
      <c r="A12" s="64">
        <v>2</v>
      </c>
      <c r="B12" s="17" t="s">
        <v>118</v>
      </c>
      <c r="C12" s="42" t="s">
        <v>75</v>
      </c>
      <c r="D12" s="117">
        <v>9766778.8123899996</v>
      </c>
      <c r="E12" s="117">
        <v>11758432.677510001</v>
      </c>
      <c r="F12" s="117">
        <v>8099741.8561700005</v>
      </c>
      <c r="G12" s="117">
        <v>4435648.2573600002</v>
      </c>
      <c r="H12" s="117">
        <v>2161977.7782600001</v>
      </c>
      <c r="I12" s="196">
        <v>1473041.31277</v>
      </c>
      <c r="J12" s="117"/>
      <c r="K12" s="117"/>
      <c r="L12" s="117"/>
      <c r="M12" s="117"/>
      <c r="N12" s="117"/>
      <c r="O12" s="117"/>
      <c r="P12" s="43">
        <f t="shared" si="1"/>
        <v>29624953.346069999</v>
      </c>
      <c r="Q12" s="43">
        <f t="shared" si="2"/>
        <v>8070667.3483899999</v>
      </c>
      <c r="R12" s="43">
        <f t="shared" si="3"/>
        <v>0</v>
      </c>
      <c r="S12" s="43">
        <f t="shared" si="4"/>
        <v>0</v>
      </c>
      <c r="T12" s="43">
        <f t="shared" si="5"/>
        <v>37695620.694460005</v>
      </c>
    </row>
    <row r="13" spans="1:20">
      <c r="A13" s="42">
        <v>3</v>
      </c>
      <c r="B13" s="17" t="s">
        <v>77</v>
      </c>
      <c r="C13" s="42" t="s">
        <v>75</v>
      </c>
      <c r="D13" s="119">
        <v>5235010.2854399998</v>
      </c>
      <c r="E13" s="119">
        <v>5722433.8172399998</v>
      </c>
      <c r="F13" s="119">
        <v>3924506.1300400002</v>
      </c>
      <c r="G13" s="119">
        <v>2573374.01804</v>
      </c>
      <c r="H13" s="119">
        <v>1485925.00376</v>
      </c>
      <c r="I13" s="197">
        <v>1195063.32852</v>
      </c>
      <c r="J13" s="119"/>
      <c r="K13" s="119"/>
      <c r="L13" s="119"/>
      <c r="M13" s="119"/>
      <c r="N13" s="119"/>
      <c r="O13" s="119"/>
      <c r="P13" s="163">
        <f t="shared" si="1"/>
        <v>14881950.232719999</v>
      </c>
      <c r="Q13" s="163">
        <f t="shared" si="2"/>
        <v>5254362.3503200002</v>
      </c>
      <c r="R13" s="163">
        <f t="shared" si="3"/>
        <v>0</v>
      </c>
      <c r="S13" s="163">
        <f t="shared" si="4"/>
        <v>0</v>
      </c>
      <c r="T13" s="163">
        <f t="shared" si="5"/>
        <v>20136312.583039999</v>
      </c>
    </row>
    <row r="14" spans="1:20">
      <c r="A14" s="64">
        <v>4</v>
      </c>
      <c r="B14" s="17" t="s">
        <v>78</v>
      </c>
      <c r="C14" s="42" t="s">
        <v>75</v>
      </c>
      <c r="D14" s="119">
        <v>504712.62</v>
      </c>
      <c r="E14" s="119">
        <v>503569.6</v>
      </c>
      <c r="F14" s="119">
        <v>504482.2</v>
      </c>
      <c r="G14" s="119">
        <v>506308.8</v>
      </c>
      <c r="H14" s="119">
        <v>507081.4</v>
      </c>
      <c r="I14" s="197">
        <v>506583.72</v>
      </c>
      <c r="J14" s="119"/>
      <c r="K14" s="119"/>
      <c r="L14" s="119"/>
      <c r="M14" s="119"/>
      <c r="N14" s="119"/>
      <c r="O14" s="119"/>
      <c r="P14" s="163">
        <f t="shared" si="1"/>
        <v>1512764.42</v>
      </c>
      <c r="Q14" s="163">
        <f t="shared" si="2"/>
        <v>1519973.92</v>
      </c>
      <c r="R14" s="163">
        <f t="shared" si="3"/>
        <v>0</v>
      </c>
      <c r="S14" s="163">
        <f t="shared" si="4"/>
        <v>0</v>
      </c>
      <c r="T14" s="163">
        <f t="shared" si="5"/>
        <v>3032738.34</v>
      </c>
    </row>
    <row r="15" spans="1:20" ht="6" customHeight="1">
      <c r="A15" s="42">
        <v>5</v>
      </c>
      <c r="B15" s="17"/>
      <c r="C15" s="42"/>
      <c r="D15" s="89"/>
      <c r="E15" s="89"/>
      <c r="F15" s="89"/>
      <c r="G15" s="89"/>
      <c r="H15" s="89"/>
      <c r="I15" s="174"/>
      <c r="J15" s="89"/>
      <c r="K15" s="89"/>
      <c r="L15" s="89"/>
      <c r="M15" s="89"/>
      <c r="N15" s="89"/>
      <c r="O15" s="89"/>
      <c r="P15" s="43"/>
      <c r="Q15" s="43"/>
      <c r="R15" s="43"/>
      <c r="S15" s="43"/>
      <c r="T15" s="43"/>
    </row>
    <row r="16" spans="1:20">
      <c r="A16" s="64">
        <v>6</v>
      </c>
      <c r="B16" s="86" t="s">
        <v>79</v>
      </c>
      <c r="C16" s="42"/>
      <c r="D16" s="89"/>
      <c r="E16" s="89"/>
      <c r="F16" s="89"/>
      <c r="G16" s="89"/>
      <c r="H16" s="89"/>
      <c r="I16" s="174"/>
      <c r="J16" s="89"/>
      <c r="K16" s="89"/>
      <c r="L16" s="89"/>
      <c r="M16" s="89"/>
      <c r="N16" s="89"/>
      <c r="O16" s="89"/>
      <c r="P16" s="43"/>
      <c r="Q16" s="43"/>
      <c r="R16" s="43"/>
      <c r="S16" s="43"/>
      <c r="T16" s="43"/>
    </row>
    <row r="17" spans="1:24">
      <c r="A17" s="42">
        <v>7</v>
      </c>
      <c r="B17" s="17" t="s">
        <v>80</v>
      </c>
      <c r="C17" s="42" t="str">
        <f>"("&amp;A11&amp;") - ("&amp;A32&amp;")"</f>
        <v>(1) - (22)</v>
      </c>
      <c r="D17" s="89">
        <f t="shared" ref="D17:I17" si="6">D11-D32</f>
        <v>79440</v>
      </c>
      <c r="E17" s="89">
        <f t="shared" si="6"/>
        <v>79260</v>
      </c>
      <c r="F17" s="89">
        <f t="shared" si="6"/>
        <v>79223</v>
      </c>
      <c r="G17" s="89">
        <f t="shared" si="6"/>
        <v>79218</v>
      </c>
      <c r="H17" s="89">
        <f t="shared" si="6"/>
        <v>79122</v>
      </c>
      <c r="I17" s="174">
        <f t="shared" si="6"/>
        <v>78885</v>
      </c>
      <c r="J17" s="89">
        <f>J11-J32</f>
        <v>0</v>
      </c>
      <c r="K17" s="89">
        <f t="shared" ref="K17:O17" si="7">K11-K32</f>
        <v>0</v>
      </c>
      <c r="L17" s="89">
        <f t="shared" si="7"/>
        <v>0</v>
      </c>
      <c r="M17" s="89">
        <f t="shared" si="7"/>
        <v>0</v>
      </c>
      <c r="N17" s="89">
        <f t="shared" si="7"/>
        <v>0</v>
      </c>
      <c r="O17" s="89">
        <f t="shared" si="7"/>
        <v>0</v>
      </c>
      <c r="P17" s="43">
        <f>SUM(D17:F17)</f>
        <v>237923</v>
      </c>
      <c r="Q17" s="43">
        <f>SUM(G17:I17)</f>
        <v>237225</v>
      </c>
      <c r="R17" s="43">
        <f>SUM(J17:L17)</f>
        <v>0</v>
      </c>
      <c r="S17" s="43">
        <f>SUM(M17:O17)</f>
        <v>0</v>
      </c>
      <c r="T17" s="43">
        <f>SUM(D17:O17)</f>
        <v>475148</v>
      </c>
      <c r="W17" s="135"/>
    </row>
    <row r="18" spans="1:24">
      <c r="A18" s="64">
        <v>8</v>
      </c>
      <c r="B18" s="83" t="s">
        <v>81</v>
      </c>
      <c r="C18" s="90" t="s">
        <v>82</v>
      </c>
      <c r="D18" s="91">
        <v>55.082912658241142</v>
      </c>
      <c r="E18" s="91">
        <v>46.891644262322323</v>
      </c>
      <c r="F18" s="91">
        <v>39.937068470606874</v>
      </c>
      <c r="G18" s="92">
        <v>25.869632135315143</v>
      </c>
      <c r="H18" s="92">
        <v>14.524804928263871</v>
      </c>
      <c r="I18" s="192">
        <v>8.9517366027754353</v>
      </c>
      <c r="J18" s="92">
        <v>7.0530857900796713</v>
      </c>
      <c r="K18" s="92">
        <v>6.9750772948320625</v>
      </c>
      <c r="L18" s="92">
        <v>8.2848836229521812</v>
      </c>
      <c r="M18" s="92">
        <v>23.22825978055344</v>
      </c>
      <c r="N18" s="92">
        <v>47.309412569732181</v>
      </c>
      <c r="O18" s="92">
        <v>65.521481884325709</v>
      </c>
      <c r="P18" s="82">
        <f>P19/P17</f>
        <v>47.310905970625925</v>
      </c>
      <c r="Q18" s="82">
        <f>Q19/Q17</f>
        <v>16.460026877181701</v>
      </c>
      <c r="R18" s="82" t="e">
        <f>R19/R17</f>
        <v>#DIV/0!</v>
      </c>
      <c r="S18" s="82" t="e">
        <f>S19/S17</f>
        <v>#DIV/0!</v>
      </c>
      <c r="T18" s="82">
        <f>T19/T17</f>
        <v>31.90812664093853</v>
      </c>
      <c r="U18" s="135"/>
      <c r="X18" s="135"/>
    </row>
    <row r="19" spans="1:24">
      <c r="A19" s="42">
        <v>9</v>
      </c>
      <c r="B19" s="17" t="s">
        <v>83</v>
      </c>
      <c r="C19" s="42" t="str">
        <f>"("&amp;A17&amp;") x ("&amp;A18&amp;")"</f>
        <v>(7) x (8)</v>
      </c>
      <c r="D19" s="93">
        <f t="shared" ref="D19:I19" si="8">D17*D18</f>
        <v>4375786.5815706765</v>
      </c>
      <c r="E19" s="93">
        <f t="shared" si="8"/>
        <v>3716631.7242316674</v>
      </c>
      <c r="F19" s="93">
        <f t="shared" si="8"/>
        <v>3163934.3754468886</v>
      </c>
      <c r="G19" s="93">
        <f t="shared" si="8"/>
        <v>2049340.5184953951</v>
      </c>
      <c r="H19" s="93">
        <f t="shared" si="8"/>
        <v>1149231.6155340939</v>
      </c>
      <c r="I19" s="109">
        <f t="shared" si="8"/>
        <v>706157.74190994026</v>
      </c>
      <c r="J19" s="93">
        <f t="shared" ref="J19:O19" si="9">J17*J18</f>
        <v>0</v>
      </c>
      <c r="K19" s="93">
        <f t="shared" si="9"/>
        <v>0</v>
      </c>
      <c r="L19" s="93">
        <f t="shared" si="9"/>
        <v>0</v>
      </c>
      <c r="M19" s="93">
        <f t="shared" si="9"/>
        <v>0</v>
      </c>
      <c r="N19" s="93">
        <f t="shared" si="9"/>
        <v>0</v>
      </c>
      <c r="O19" s="93">
        <f t="shared" si="9"/>
        <v>0</v>
      </c>
      <c r="P19" s="44">
        <f>SUM(D19:F19)</f>
        <v>11256352.681249231</v>
      </c>
      <c r="Q19" s="44">
        <f>SUM(G19:I19)</f>
        <v>3904729.8759394293</v>
      </c>
      <c r="R19" s="44">
        <f>SUM(J19:L19)</f>
        <v>0</v>
      </c>
      <c r="S19" s="44">
        <f>SUM(M19:O19)</f>
        <v>0</v>
      </c>
      <c r="T19" s="44">
        <f>SUM(D19:O19)</f>
        <v>15161082.55718866</v>
      </c>
      <c r="W19" s="135"/>
    </row>
    <row r="20" spans="1:24" ht="6" customHeight="1">
      <c r="A20" s="64">
        <v>10</v>
      </c>
      <c r="B20" s="17"/>
      <c r="C20" s="42"/>
      <c r="D20" s="94"/>
      <c r="E20" s="94"/>
      <c r="F20" s="94"/>
      <c r="G20" s="94"/>
      <c r="H20" s="94"/>
      <c r="I20" s="176"/>
      <c r="J20" s="94"/>
      <c r="K20" s="94"/>
      <c r="L20" s="94"/>
      <c r="M20" s="94"/>
      <c r="N20" s="94"/>
      <c r="O20" s="94"/>
    </row>
    <row r="21" spans="1:24">
      <c r="A21" s="42">
        <v>11</v>
      </c>
      <c r="B21" s="17" t="s">
        <v>30</v>
      </c>
      <c r="C21" s="42" t="str">
        <f>"("&amp;A13&amp;") - ("&amp;A36&amp;")"</f>
        <v>(3) - (26)</v>
      </c>
      <c r="D21" s="93">
        <f t="shared" ref="D21:I21" si="10">D13-D36</f>
        <v>4985268.0554399993</v>
      </c>
      <c r="E21" s="93">
        <f t="shared" si="10"/>
        <v>5444639.1672399994</v>
      </c>
      <c r="F21" s="93">
        <f t="shared" si="10"/>
        <v>3640709.7100400003</v>
      </c>
      <c r="G21" s="93">
        <f t="shared" si="10"/>
        <v>2407150.4880400002</v>
      </c>
      <c r="H21" s="93">
        <f t="shared" si="10"/>
        <v>1380000.9337599999</v>
      </c>
      <c r="I21" s="109">
        <f t="shared" si="10"/>
        <v>1125331.4285200001</v>
      </c>
      <c r="J21" s="93">
        <f t="shared" ref="J21:O22" si="11">J13-J36</f>
        <v>0</v>
      </c>
      <c r="K21" s="93">
        <f t="shared" si="11"/>
        <v>0</v>
      </c>
      <c r="L21" s="93">
        <f t="shared" si="11"/>
        <v>0</v>
      </c>
      <c r="M21" s="93">
        <f t="shared" si="11"/>
        <v>0</v>
      </c>
      <c r="N21" s="93">
        <f t="shared" si="11"/>
        <v>0</v>
      </c>
      <c r="O21" s="93">
        <f t="shared" si="11"/>
        <v>0</v>
      </c>
      <c r="P21" s="93">
        <f t="shared" ref="P21:T21" si="12">P13-P36</f>
        <v>14070616.932719998</v>
      </c>
      <c r="Q21" s="93">
        <f t="shared" si="12"/>
        <v>4912482.8503200002</v>
      </c>
      <c r="R21" s="93">
        <f t="shared" si="12"/>
        <v>0</v>
      </c>
      <c r="S21" s="93">
        <f t="shared" si="12"/>
        <v>0</v>
      </c>
      <c r="T21" s="93">
        <f t="shared" si="12"/>
        <v>18983099.783039998</v>
      </c>
    </row>
    <row r="22" spans="1:24">
      <c r="A22" s="64">
        <v>12</v>
      </c>
      <c r="B22" s="17" t="s">
        <v>20</v>
      </c>
      <c r="C22" s="42" t="str">
        <f>"("&amp;A14&amp;") - ("&amp;A37&amp;")"</f>
        <v>(4) - (27)</v>
      </c>
      <c r="D22" s="93">
        <f t="shared" ref="D22:I22" si="13">D14-D37</f>
        <v>478549.83999999997</v>
      </c>
      <c r="E22" s="93">
        <f t="shared" si="13"/>
        <v>477486.6</v>
      </c>
      <c r="F22" s="93">
        <f t="shared" si="13"/>
        <v>477616</v>
      </c>
      <c r="G22" s="93">
        <f t="shared" si="13"/>
        <v>478402.22</v>
      </c>
      <c r="H22" s="93">
        <f t="shared" si="13"/>
        <v>478261.82</v>
      </c>
      <c r="I22" s="109">
        <f t="shared" si="13"/>
        <v>476870.92</v>
      </c>
      <c r="J22" s="93">
        <f t="shared" si="11"/>
        <v>0</v>
      </c>
      <c r="K22" s="93">
        <f t="shared" si="11"/>
        <v>0</v>
      </c>
      <c r="L22" s="93">
        <f t="shared" si="11"/>
        <v>0</v>
      </c>
      <c r="M22" s="93">
        <f t="shared" si="11"/>
        <v>0</v>
      </c>
      <c r="N22" s="93">
        <f t="shared" si="11"/>
        <v>0</v>
      </c>
      <c r="O22" s="93">
        <f t="shared" si="11"/>
        <v>0</v>
      </c>
      <c r="P22" s="93">
        <f t="shared" ref="P22:T22" si="14">P14-P37</f>
        <v>1433652.44</v>
      </c>
      <c r="Q22" s="93">
        <f t="shared" si="14"/>
        <v>1433534.96</v>
      </c>
      <c r="R22" s="93">
        <f t="shared" si="14"/>
        <v>0</v>
      </c>
      <c r="S22" s="93">
        <f t="shared" si="14"/>
        <v>0</v>
      </c>
      <c r="T22" s="93">
        <f t="shared" si="14"/>
        <v>2867187.4</v>
      </c>
    </row>
    <row r="23" spans="1:24">
      <c r="A23" s="42">
        <v>13</v>
      </c>
      <c r="B23" s="2" t="s">
        <v>119</v>
      </c>
      <c r="C23" s="42" t="str">
        <f>"("&amp;A12&amp;") - ("&amp;A38&amp;")"</f>
        <v>(2) - (28)</v>
      </c>
      <c r="D23" s="89">
        <f t="shared" ref="D23:I23" si="15">D12-D38</f>
        <v>9277435.6893099993</v>
      </c>
      <c r="E23" s="89">
        <f t="shared" si="15"/>
        <v>11216504.580460001</v>
      </c>
      <c r="F23" s="89">
        <f t="shared" si="15"/>
        <v>7546663.9261700008</v>
      </c>
      <c r="G23" s="89">
        <f t="shared" si="15"/>
        <v>4137906.7631600001</v>
      </c>
      <c r="H23" s="89">
        <f t="shared" si="15"/>
        <v>1995949.59616</v>
      </c>
      <c r="I23" s="174">
        <f t="shared" si="15"/>
        <v>1386898.19022</v>
      </c>
      <c r="J23" s="89">
        <f t="shared" ref="J23:O23" si="16">J12-J38</f>
        <v>0</v>
      </c>
      <c r="K23" s="89">
        <f t="shared" si="16"/>
        <v>0</v>
      </c>
      <c r="L23" s="89">
        <f t="shared" si="16"/>
        <v>0</v>
      </c>
      <c r="M23" s="89">
        <f t="shared" si="16"/>
        <v>0</v>
      </c>
      <c r="N23" s="89">
        <f t="shared" si="16"/>
        <v>0</v>
      </c>
      <c r="O23" s="89">
        <f t="shared" si="16"/>
        <v>0</v>
      </c>
      <c r="P23" s="89">
        <f t="shared" ref="P23:T23" si="17">P12-P38</f>
        <v>28040604.195939999</v>
      </c>
      <c r="Q23" s="89">
        <f t="shared" si="17"/>
        <v>7520754.54954</v>
      </c>
      <c r="R23" s="89">
        <f t="shared" si="17"/>
        <v>0</v>
      </c>
      <c r="S23" s="89">
        <f t="shared" si="17"/>
        <v>0</v>
      </c>
      <c r="T23" s="89">
        <f t="shared" si="17"/>
        <v>35561358.745480001</v>
      </c>
    </row>
    <row r="24" spans="1:24" hidden="1">
      <c r="A24" s="64">
        <v>14</v>
      </c>
      <c r="B24" s="17"/>
      <c r="C24" s="42"/>
      <c r="D24" s="95"/>
      <c r="E24" s="95"/>
      <c r="F24" s="95"/>
      <c r="G24" s="95"/>
      <c r="H24" s="95"/>
      <c r="I24" s="177"/>
      <c r="J24" s="95"/>
      <c r="K24" s="95"/>
      <c r="L24" s="95"/>
      <c r="M24" s="95"/>
      <c r="N24" s="95"/>
      <c r="O24" s="95"/>
    </row>
    <row r="25" spans="1:24" ht="6" customHeight="1">
      <c r="A25" s="42">
        <v>15</v>
      </c>
      <c r="B25" s="17"/>
      <c r="C25" s="42"/>
      <c r="D25" s="93"/>
      <c r="E25" s="93"/>
      <c r="F25" s="93"/>
      <c r="G25" s="93"/>
      <c r="H25" s="93"/>
      <c r="I25" s="109"/>
      <c r="J25" s="93"/>
      <c r="K25" s="93"/>
      <c r="L25" s="93"/>
      <c r="M25" s="93"/>
      <c r="N25" s="93"/>
      <c r="O25" s="93"/>
    </row>
    <row r="26" spans="1:24">
      <c r="A26" s="64">
        <v>16</v>
      </c>
      <c r="B26" s="17" t="s">
        <v>88</v>
      </c>
      <c r="C26" s="42" t="str">
        <f>"("&amp;A21&amp;") - ("&amp;A22&amp;") -("&amp;A25&amp;")"</f>
        <v>(11) - (12) -(15)</v>
      </c>
      <c r="D26" s="93">
        <f t="shared" ref="D26:I26" si="18">D21-D22-D25</f>
        <v>4506718.2154399995</v>
      </c>
      <c r="E26" s="93">
        <f t="shared" si="18"/>
        <v>4967152.5672399998</v>
      </c>
      <c r="F26" s="93">
        <f t="shared" si="18"/>
        <v>3163093.7100400003</v>
      </c>
      <c r="G26" s="93">
        <f t="shared" si="18"/>
        <v>1928748.2680400002</v>
      </c>
      <c r="H26" s="93">
        <f t="shared" si="18"/>
        <v>901739.11375999986</v>
      </c>
      <c r="I26" s="109">
        <f t="shared" si="18"/>
        <v>648460.50852000015</v>
      </c>
      <c r="J26" s="93">
        <f t="shared" ref="J26:O26" si="19">J21-J22-J25</f>
        <v>0</v>
      </c>
      <c r="K26" s="93">
        <f t="shared" si="19"/>
        <v>0</v>
      </c>
      <c r="L26" s="93">
        <f t="shared" si="19"/>
        <v>0</v>
      </c>
      <c r="M26" s="93">
        <f t="shared" si="19"/>
        <v>0</v>
      </c>
      <c r="N26" s="93">
        <f t="shared" si="19"/>
        <v>0</v>
      </c>
      <c r="O26" s="93">
        <f t="shared" si="19"/>
        <v>0</v>
      </c>
      <c r="P26" s="44">
        <f>SUM(D26:F26)</f>
        <v>12636964.49272</v>
      </c>
      <c r="Q26" s="44">
        <f>SUM(G26:I26)</f>
        <v>3478947.8903200002</v>
      </c>
      <c r="R26" s="44">
        <f>SUM(J26:L26)</f>
        <v>0</v>
      </c>
      <c r="S26" s="44">
        <f>SUM(M26:O26)</f>
        <v>0</v>
      </c>
      <c r="T26" s="44">
        <f>SUM(D26:O26)</f>
        <v>16115912.38304</v>
      </c>
    </row>
    <row r="27" spans="1:24">
      <c r="A27" s="42">
        <v>17</v>
      </c>
      <c r="B27" s="3" t="s">
        <v>21</v>
      </c>
      <c r="C27" s="42"/>
      <c r="D27" s="96">
        <f t="shared" ref="D27:I27" si="20">D26/D17</f>
        <v>56.731095360523661</v>
      </c>
      <c r="E27" s="96">
        <f t="shared" si="20"/>
        <v>62.669096230633357</v>
      </c>
      <c r="F27" s="96">
        <f t="shared" si="20"/>
        <v>39.926457089986499</v>
      </c>
      <c r="G27" s="96">
        <f t="shared" si="20"/>
        <v>24.347348683884977</v>
      </c>
      <c r="H27" s="96">
        <f t="shared" si="20"/>
        <v>11.396819010641792</v>
      </c>
      <c r="I27" s="178">
        <f t="shared" si="20"/>
        <v>8.220327166381443</v>
      </c>
      <c r="J27" s="96" t="e">
        <f t="shared" ref="J27:O27" si="21">J26/J17</f>
        <v>#DIV/0!</v>
      </c>
      <c r="K27" s="96" t="e">
        <f t="shared" si="21"/>
        <v>#DIV/0!</v>
      </c>
      <c r="L27" s="96" t="e">
        <f t="shared" si="21"/>
        <v>#DIV/0!</v>
      </c>
      <c r="M27" s="96" t="e">
        <f t="shared" si="21"/>
        <v>#DIV/0!</v>
      </c>
      <c r="N27" s="96" t="e">
        <f t="shared" si="21"/>
        <v>#DIV/0!</v>
      </c>
      <c r="O27" s="96" t="e">
        <f t="shared" si="21"/>
        <v>#DIV/0!</v>
      </c>
      <c r="P27" s="82">
        <f>P26/P17</f>
        <v>53.113673300689719</v>
      </c>
      <c r="Q27" s="82">
        <f t="shared" ref="Q27:T27" si="22">Q26/Q17</f>
        <v>14.66518238094636</v>
      </c>
      <c r="R27" s="82" t="e">
        <f t="shared" si="22"/>
        <v>#DIV/0!</v>
      </c>
      <c r="S27" s="82" t="e">
        <f t="shared" si="22"/>
        <v>#DIV/0!</v>
      </c>
      <c r="T27" s="82">
        <f t="shared" si="22"/>
        <v>33.917668564405197</v>
      </c>
    </row>
    <row r="28" spans="1:24">
      <c r="A28" s="64">
        <v>18</v>
      </c>
      <c r="B28" s="17" t="s">
        <v>89</v>
      </c>
      <c r="C28" s="42" t="str">
        <f>"("&amp;A$19&amp;") - ("&amp;A26&amp;")"</f>
        <v>(9) - (16)</v>
      </c>
      <c r="D28" s="93">
        <f t="shared" ref="D28:I28" si="23">D19-D26</f>
        <v>-130931.63386932295</v>
      </c>
      <c r="E28" s="93">
        <f t="shared" si="23"/>
        <v>-1250520.8430083324</v>
      </c>
      <c r="F28" s="93">
        <f t="shared" si="23"/>
        <v>840.66540688835084</v>
      </c>
      <c r="G28" s="93">
        <f t="shared" si="23"/>
        <v>120592.25045539485</v>
      </c>
      <c r="H28" s="93">
        <f t="shared" si="23"/>
        <v>247492.50177409407</v>
      </c>
      <c r="I28" s="109">
        <f t="shared" si="23"/>
        <v>57697.233389940113</v>
      </c>
      <c r="J28" s="93">
        <f t="shared" ref="J28:O28" si="24">J19-J26</f>
        <v>0</v>
      </c>
      <c r="K28" s="93">
        <f t="shared" si="24"/>
        <v>0</v>
      </c>
      <c r="L28" s="93">
        <f t="shared" si="24"/>
        <v>0</v>
      </c>
      <c r="M28" s="93">
        <f t="shared" si="24"/>
        <v>0</v>
      </c>
      <c r="N28" s="93">
        <f t="shared" si="24"/>
        <v>0</v>
      </c>
      <c r="O28" s="93">
        <f t="shared" si="24"/>
        <v>0</v>
      </c>
      <c r="P28" s="44">
        <f>SUM(D28:F28)</f>
        <v>-1380611.811470767</v>
      </c>
      <c r="Q28" s="44">
        <f>SUM(G28:I28)</f>
        <v>425781.98561942903</v>
      </c>
      <c r="R28" s="44">
        <f>SUM(J28:L28)</f>
        <v>0</v>
      </c>
      <c r="S28" s="44">
        <f>SUM(M28:O28)</f>
        <v>0</v>
      </c>
      <c r="T28" s="44">
        <f>SUM(D28:O28)</f>
        <v>-954829.82585133798</v>
      </c>
    </row>
    <row r="29" spans="1:24">
      <c r="A29" s="42">
        <v>19</v>
      </c>
      <c r="B29" s="17"/>
      <c r="C29" s="42"/>
      <c r="D29" s="93"/>
      <c r="E29" s="93"/>
      <c r="F29" s="93"/>
      <c r="G29" s="93"/>
      <c r="H29" s="93"/>
      <c r="I29" s="109"/>
      <c r="J29" s="93"/>
      <c r="K29" s="93"/>
      <c r="L29" s="93"/>
      <c r="M29" s="93"/>
      <c r="N29" s="93"/>
      <c r="O29" s="93"/>
    </row>
    <row r="30" spans="1:24" hidden="1">
      <c r="A30" s="64">
        <v>20</v>
      </c>
      <c r="B30" s="17"/>
      <c r="C30" s="42"/>
      <c r="D30" s="93"/>
      <c r="E30" s="93"/>
      <c r="F30" s="93"/>
      <c r="G30" s="93"/>
      <c r="H30" s="93"/>
      <c r="I30" s="109"/>
      <c r="J30" s="93"/>
      <c r="K30" s="93"/>
      <c r="L30" s="93"/>
      <c r="M30" s="93"/>
      <c r="N30" s="93"/>
      <c r="O30" s="93"/>
    </row>
    <row r="31" spans="1:24">
      <c r="A31" s="42">
        <v>21</v>
      </c>
      <c r="B31" s="86" t="s">
        <v>90</v>
      </c>
      <c r="C31" s="42"/>
      <c r="D31" s="93"/>
      <c r="E31" s="93"/>
      <c r="F31" s="93"/>
      <c r="G31" s="93"/>
      <c r="H31" s="93"/>
      <c r="I31" s="109"/>
      <c r="J31" s="93"/>
      <c r="K31" s="93"/>
      <c r="L31" s="93"/>
      <c r="M31" s="93"/>
      <c r="N31" s="93"/>
      <c r="O31" s="93"/>
    </row>
    <row r="32" spans="1:24">
      <c r="A32" s="64">
        <v>22</v>
      </c>
      <c r="B32" s="17" t="s">
        <v>91</v>
      </c>
      <c r="C32" s="42" t="s">
        <v>75</v>
      </c>
      <c r="D32" s="117">
        <v>4384</v>
      </c>
      <c r="E32" s="117">
        <v>4471</v>
      </c>
      <c r="F32" s="117">
        <v>4604</v>
      </c>
      <c r="G32" s="117">
        <v>4780</v>
      </c>
      <c r="H32" s="117">
        <v>4985</v>
      </c>
      <c r="I32" s="196">
        <v>5084</v>
      </c>
      <c r="J32" s="117"/>
      <c r="K32" s="117"/>
      <c r="L32" s="117"/>
      <c r="M32" s="117"/>
      <c r="N32" s="117"/>
      <c r="O32" s="117"/>
      <c r="P32" s="43">
        <f>SUM(D32:F32)</f>
        <v>13459</v>
      </c>
      <c r="Q32" s="43">
        <f>SUM(G32:I32)</f>
        <v>14849</v>
      </c>
      <c r="R32" s="43">
        <f>SUM(J32:L32)</f>
        <v>0</v>
      </c>
      <c r="S32" s="43">
        <f>SUM(M32:O32)</f>
        <v>0</v>
      </c>
      <c r="T32" s="43">
        <f>SUM(D32:O32)</f>
        <v>28308</v>
      </c>
    </row>
    <row r="33" spans="1:27">
      <c r="A33" s="42">
        <v>23</v>
      </c>
      <c r="B33" s="83" t="s">
        <v>81</v>
      </c>
      <c r="C33" s="90" t="s">
        <v>82</v>
      </c>
      <c r="D33" s="91">
        <v>52.001307042032018</v>
      </c>
      <c r="E33" s="91">
        <v>44.268297976903376</v>
      </c>
      <c r="F33" s="91">
        <v>37.702794926331293</v>
      </c>
      <c r="G33" s="91">
        <v>24.422359290974654</v>
      </c>
      <c r="H33" s="91">
        <v>13.712216808260321</v>
      </c>
      <c r="I33" s="179">
        <v>8.4509329876672137</v>
      </c>
      <c r="J33" s="91">
        <v>6.6585019212641852</v>
      </c>
      <c r="K33" s="91">
        <v>6.5848576000492489</v>
      </c>
      <c r="L33" s="91">
        <v>7.8213870017670866</v>
      </c>
      <c r="M33" s="91">
        <v>21.928758132217698</v>
      </c>
      <c r="N33" s="91">
        <v>44.662694296517749</v>
      </c>
      <c r="O33" s="91">
        <v>61.855892016015183</v>
      </c>
      <c r="P33" s="82">
        <f>P34/P32</f>
        <v>44.541270389169519</v>
      </c>
      <c r="Q33" s="82">
        <f>Q34/Q32</f>
        <v>15.358530642422835</v>
      </c>
      <c r="R33" s="82" t="e">
        <f>R34/R32</f>
        <v>#DIV/0!</v>
      </c>
      <c r="S33" s="82" t="e">
        <f>S34/S32</f>
        <v>#DIV/0!</v>
      </c>
      <c r="T33" s="82">
        <f>T34/T32</f>
        <v>29.233424462242805</v>
      </c>
    </row>
    <row r="34" spans="1:27">
      <c r="A34" s="64">
        <v>24</v>
      </c>
      <c r="B34" s="17" t="s">
        <v>83</v>
      </c>
      <c r="C34" s="42" t="str">
        <f>"("&amp;A32&amp;") x ("&amp;A33&amp;")"</f>
        <v>(22) x (23)</v>
      </c>
      <c r="D34" s="93">
        <f t="shared" ref="D34:I34" si="25">D32*D33</f>
        <v>227973.73007226837</v>
      </c>
      <c r="E34" s="93">
        <f t="shared" si="25"/>
        <v>197923.560254735</v>
      </c>
      <c r="F34" s="93">
        <f t="shared" si="25"/>
        <v>173583.66784082926</v>
      </c>
      <c r="G34" s="93">
        <f t="shared" si="25"/>
        <v>116738.87741085884</v>
      </c>
      <c r="H34" s="93">
        <f t="shared" si="25"/>
        <v>68355.4007891777</v>
      </c>
      <c r="I34" s="109">
        <f t="shared" si="25"/>
        <v>42964.543309300112</v>
      </c>
      <c r="J34" s="93">
        <f t="shared" ref="J34:O34" si="26">J32*J33</f>
        <v>0</v>
      </c>
      <c r="K34" s="93">
        <f t="shared" si="26"/>
        <v>0</v>
      </c>
      <c r="L34" s="93">
        <f t="shared" si="26"/>
        <v>0</v>
      </c>
      <c r="M34" s="93">
        <f t="shared" si="26"/>
        <v>0</v>
      </c>
      <c r="N34" s="93">
        <f t="shared" si="26"/>
        <v>0</v>
      </c>
      <c r="O34" s="93">
        <f t="shared" si="26"/>
        <v>0</v>
      </c>
      <c r="P34" s="44">
        <f>SUM(D34:F34)</f>
        <v>599480.95816783258</v>
      </c>
      <c r="Q34" s="44">
        <f>SUM(G34:I34)</f>
        <v>228058.82150933667</v>
      </c>
      <c r="R34" s="44">
        <f>SUM(J34:L34)</f>
        <v>0</v>
      </c>
      <c r="S34" s="44">
        <f>SUM(M34:O34)</f>
        <v>0</v>
      </c>
      <c r="T34" s="44">
        <f>SUM(D34:O34)</f>
        <v>827539.77967716928</v>
      </c>
    </row>
    <row r="35" spans="1:27" ht="6" customHeight="1">
      <c r="A35" s="42">
        <v>25</v>
      </c>
      <c r="B35" s="17"/>
      <c r="C35" s="42"/>
      <c r="D35" s="94"/>
      <c r="E35" s="94"/>
      <c r="F35" s="94"/>
      <c r="G35" s="94"/>
      <c r="H35" s="94"/>
      <c r="I35" s="176"/>
      <c r="J35" s="94"/>
      <c r="K35" s="94"/>
      <c r="L35" s="94"/>
      <c r="M35" s="94"/>
      <c r="N35" s="94"/>
      <c r="O35" s="94"/>
      <c r="P35" s="44"/>
      <c r="Q35" s="44"/>
      <c r="R35" s="44"/>
      <c r="S35" s="44"/>
      <c r="T35" s="44"/>
    </row>
    <row r="36" spans="1:27">
      <c r="A36" s="64">
        <v>26</v>
      </c>
      <c r="B36" s="17" t="s">
        <v>30</v>
      </c>
      <c r="C36" s="42" t="s">
        <v>75</v>
      </c>
      <c r="D36" s="119">
        <v>249742.22999999998</v>
      </c>
      <c r="E36" s="119">
        <v>277794.65000000002</v>
      </c>
      <c r="F36" s="119">
        <v>283796.42000000004</v>
      </c>
      <c r="G36" s="119">
        <v>166223.52999999997</v>
      </c>
      <c r="H36" s="119">
        <v>105924.07</v>
      </c>
      <c r="I36" s="197">
        <v>69731.899999999994</v>
      </c>
      <c r="J36" s="119"/>
      <c r="K36" s="119"/>
      <c r="L36" s="119"/>
      <c r="M36" s="119"/>
      <c r="N36" s="119"/>
      <c r="O36" s="119"/>
      <c r="P36" s="44">
        <f t="shared" ref="P36:P38" si="27">SUM(D36:F36)</f>
        <v>811333.3</v>
      </c>
      <c r="Q36" s="44">
        <f t="shared" ref="Q36:Q38" si="28">SUM(G36:I36)</f>
        <v>341879.5</v>
      </c>
      <c r="R36" s="44">
        <f t="shared" ref="R36:R38" si="29">SUM(J36:L36)</f>
        <v>0</v>
      </c>
      <c r="S36" s="44">
        <f t="shared" ref="S36:S38" si="30">SUM(M36:O36)</f>
        <v>0</v>
      </c>
      <c r="T36" s="44">
        <f t="shared" ref="T36:T38" si="31">SUM(D36:O36)</f>
        <v>1153212.8</v>
      </c>
    </row>
    <row r="37" spans="1:27">
      <c r="A37" s="42">
        <v>27</v>
      </c>
      <c r="B37" s="17" t="s">
        <v>20</v>
      </c>
      <c r="C37" s="42" t="s">
        <v>75</v>
      </c>
      <c r="D37" s="119">
        <v>26162.78</v>
      </c>
      <c r="E37" s="119">
        <v>26083</v>
      </c>
      <c r="F37" s="119">
        <v>26866.2</v>
      </c>
      <c r="G37" s="119">
        <v>27906.579999999998</v>
      </c>
      <c r="H37" s="119">
        <v>28819.58</v>
      </c>
      <c r="I37" s="197">
        <v>29712.799999999999</v>
      </c>
      <c r="J37" s="119"/>
      <c r="K37" s="119"/>
      <c r="L37" s="119"/>
      <c r="M37" s="119"/>
      <c r="N37" s="119"/>
      <c r="O37" s="119"/>
      <c r="P37" s="44">
        <f t="shared" si="27"/>
        <v>79111.98</v>
      </c>
      <c r="Q37" s="44">
        <f t="shared" si="28"/>
        <v>86438.96</v>
      </c>
      <c r="R37" s="44">
        <f t="shared" si="29"/>
        <v>0</v>
      </c>
      <c r="S37" s="44">
        <f t="shared" si="30"/>
        <v>0</v>
      </c>
      <c r="T37" s="44">
        <f t="shared" si="31"/>
        <v>165550.94</v>
      </c>
    </row>
    <row r="38" spans="1:27">
      <c r="A38" s="64">
        <v>28</v>
      </c>
      <c r="B38" s="2" t="s">
        <v>119</v>
      </c>
      <c r="C38" s="42" t="s">
        <v>75</v>
      </c>
      <c r="D38" s="117">
        <v>489343.12307999999</v>
      </c>
      <c r="E38" s="117">
        <v>541928.09704999998</v>
      </c>
      <c r="F38" s="117">
        <v>553077.93000000005</v>
      </c>
      <c r="G38" s="117">
        <v>297741.49419999996</v>
      </c>
      <c r="H38" s="117">
        <v>166028.18210000001</v>
      </c>
      <c r="I38" s="196">
        <v>86143.12255</v>
      </c>
      <c r="J38" s="117"/>
      <c r="K38" s="117"/>
      <c r="L38" s="117"/>
      <c r="M38" s="117"/>
      <c r="N38" s="117"/>
      <c r="O38" s="117"/>
      <c r="P38" s="44">
        <f t="shared" si="27"/>
        <v>1584349.15013</v>
      </c>
      <c r="Q38" s="44">
        <f t="shared" si="28"/>
        <v>549912.7988499999</v>
      </c>
      <c r="R38" s="44">
        <f t="shared" si="29"/>
        <v>0</v>
      </c>
      <c r="S38" s="44">
        <f t="shared" si="30"/>
        <v>0</v>
      </c>
      <c r="T38" s="44">
        <f t="shared" si="31"/>
        <v>2134261.9489800003</v>
      </c>
    </row>
    <row r="39" spans="1:27" hidden="1">
      <c r="A39" s="42">
        <v>29</v>
      </c>
      <c r="B39" s="17"/>
      <c r="C39" s="42"/>
      <c r="D39" s="95"/>
      <c r="E39" s="95"/>
      <c r="F39" s="95"/>
      <c r="G39" s="95"/>
      <c r="H39" s="95"/>
      <c r="I39" s="177"/>
      <c r="J39" s="95"/>
      <c r="K39" s="95"/>
      <c r="L39" s="95"/>
      <c r="M39" s="95"/>
      <c r="N39" s="95"/>
      <c r="O39" s="95"/>
    </row>
    <row r="40" spans="1:27" ht="6" customHeight="1">
      <c r="A40" s="64">
        <v>30</v>
      </c>
      <c r="B40" s="17"/>
      <c r="C40" s="42"/>
      <c r="D40" s="93"/>
      <c r="E40" s="93"/>
      <c r="F40" s="93"/>
      <c r="G40" s="93"/>
      <c r="H40" s="93"/>
      <c r="I40" s="109"/>
      <c r="J40" s="93"/>
      <c r="K40" s="93"/>
      <c r="L40" s="93"/>
      <c r="M40" s="93"/>
      <c r="N40" s="93"/>
      <c r="O40" s="93"/>
    </row>
    <row r="41" spans="1:27">
      <c r="A41" s="42">
        <v>31</v>
      </c>
      <c r="B41" s="97" t="s">
        <v>120</v>
      </c>
      <c r="C41" s="42" t="s">
        <v>93</v>
      </c>
      <c r="D41" s="95">
        <v>2.5991E-2</v>
      </c>
      <c r="E41" s="95">
        <v>2.5991E-2</v>
      </c>
      <c r="F41" s="95">
        <v>2.5991E-2</v>
      </c>
      <c r="G41" s="95">
        <v>2.5991E-2</v>
      </c>
      <c r="H41" s="95">
        <v>2.5991E-2</v>
      </c>
      <c r="I41" s="177">
        <v>2.5991E-2</v>
      </c>
      <c r="J41" s="95">
        <v>2.5991E-2</v>
      </c>
      <c r="K41" s="95">
        <v>2.5991E-2</v>
      </c>
      <c r="L41" s="95">
        <v>2.5991E-2</v>
      </c>
      <c r="M41" s="95">
        <v>2.5991E-2</v>
      </c>
      <c r="N41" s="95">
        <v>2.5991E-2</v>
      </c>
      <c r="O41" s="95">
        <v>2.5991E-2</v>
      </c>
    </row>
    <row r="42" spans="1:27">
      <c r="A42" s="64">
        <v>32</v>
      </c>
      <c r="B42" s="97" t="s">
        <v>121</v>
      </c>
      <c r="C42" s="42" t="str">
        <f>"("&amp;A40&amp;") x ("&amp;A41&amp;")"</f>
        <v>(30) x (31)</v>
      </c>
      <c r="D42" s="93">
        <f t="shared" ref="D42:I42" si="32">D38*D41</f>
        <v>12718.51711197228</v>
      </c>
      <c r="E42" s="93">
        <f t="shared" si="32"/>
        <v>14085.253170426549</v>
      </c>
      <c r="F42" s="93">
        <f t="shared" si="32"/>
        <v>14375.048478630002</v>
      </c>
      <c r="G42" s="93">
        <f t="shared" si="32"/>
        <v>7738.5991757521988</v>
      </c>
      <c r="H42" s="93">
        <f t="shared" si="32"/>
        <v>4315.2384809611003</v>
      </c>
      <c r="I42" s="109">
        <f t="shared" si="32"/>
        <v>2238.9458981970502</v>
      </c>
      <c r="J42" s="93">
        <f t="shared" ref="J42:O42" si="33">J38*J41</f>
        <v>0</v>
      </c>
      <c r="K42" s="93">
        <f t="shared" si="33"/>
        <v>0</v>
      </c>
      <c r="L42" s="93">
        <f t="shared" si="33"/>
        <v>0</v>
      </c>
      <c r="M42" s="93">
        <f t="shared" si="33"/>
        <v>0</v>
      </c>
      <c r="N42" s="93">
        <f t="shared" si="33"/>
        <v>0</v>
      </c>
      <c r="O42" s="93">
        <f t="shared" si="33"/>
        <v>0</v>
      </c>
    </row>
    <row r="43" spans="1:27">
      <c r="A43" s="42">
        <v>33</v>
      </c>
      <c r="B43" s="17" t="s">
        <v>88</v>
      </c>
      <c r="C43" s="42" t="str">
        <f>"("&amp;A36&amp;") - ("&amp;A37&amp;") - ("&amp;A40&amp;") - ("&amp;A42&amp;")"</f>
        <v>(26) - (27) - (30) - (32)</v>
      </c>
      <c r="D43" s="93">
        <f t="shared" ref="D43:I43" si="34">D36-D37-D40-D42</f>
        <v>210860.93288802769</v>
      </c>
      <c r="E43" s="93">
        <f t="shared" si="34"/>
        <v>237626.39682957347</v>
      </c>
      <c r="F43" s="93">
        <f t="shared" si="34"/>
        <v>242555.17152137004</v>
      </c>
      <c r="G43" s="93">
        <f t="shared" si="34"/>
        <v>130578.35082424778</v>
      </c>
      <c r="H43" s="93">
        <f t="shared" si="34"/>
        <v>72789.251519038909</v>
      </c>
      <c r="I43" s="109">
        <f t="shared" si="34"/>
        <v>37780.154101802938</v>
      </c>
      <c r="J43" s="93">
        <f t="shared" ref="J43:O43" si="35">J36-J37-J40-J42</f>
        <v>0</v>
      </c>
      <c r="K43" s="93">
        <f t="shared" si="35"/>
        <v>0</v>
      </c>
      <c r="L43" s="93">
        <f t="shared" si="35"/>
        <v>0</v>
      </c>
      <c r="M43" s="93">
        <f t="shared" si="35"/>
        <v>0</v>
      </c>
      <c r="N43" s="93">
        <f t="shared" si="35"/>
        <v>0</v>
      </c>
      <c r="O43" s="93">
        <f t="shared" si="35"/>
        <v>0</v>
      </c>
      <c r="P43" s="44">
        <f>SUM(D43:F43)</f>
        <v>691042.50123897125</v>
      </c>
      <c r="Q43" s="44">
        <f>SUM(G43:I43)</f>
        <v>241147.75644508962</v>
      </c>
      <c r="R43" s="44">
        <f>SUM(J43:L43)</f>
        <v>0</v>
      </c>
      <c r="S43" s="44">
        <f>SUM(M43:O43)</f>
        <v>0</v>
      </c>
      <c r="T43" s="44">
        <f>SUM(D43:O43)</f>
        <v>932190.25768406095</v>
      </c>
    </row>
    <row r="44" spans="1:27">
      <c r="A44" s="64">
        <v>34</v>
      </c>
      <c r="B44" s="3" t="s">
        <v>21</v>
      </c>
      <c r="C44" s="42"/>
      <c r="D44" s="96">
        <f t="shared" ref="D44:I44" si="36">D43/D32</f>
        <v>48.097840531028211</v>
      </c>
      <c r="E44" s="96">
        <f t="shared" si="36"/>
        <v>53.148377729718959</v>
      </c>
      <c r="F44" s="96">
        <f t="shared" si="36"/>
        <v>52.683573310462648</v>
      </c>
      <c r="G44" s="96">
        <f t="shared" si="36"/>
        <v>27.317646615951418</v>
      </c>
      <c r="H44" s="96">
        <f t="shared" si="36"/>
        <v>14.601655269616632</v>
      </c>
      <c r="I44" s="178">
        <f t="shared" si="36"/>
        <v>7.4311868807637564</v>
      </c>
      <c r="J44" s="96" t="e">
        <f t="shared" ref="J44:O44" si="37">J43/J32</f>
        <v>#DIV/0!</v>
      </c>
      <c r="K44" s="96" t="e">
        <f t="shared" si="37"/>
        <v>#DIV/0!</v>
      </c>
      <c r="L44" s="96" t="e">
        <f t="shared" si="37"/>
        <v>#DIV/0!</v>
      </c>
      <c r="M44" s="96" t="e">
        <f t="shared" si="37"/>
        <v>#DIV/0!</v>
      </c>
      <c r="N44" s="96" t="e">
        <f t="shared" si="37"/>
        <v>#DIV/0!</v>
      </c>
      <c r="O44" s="96" t="e">
        <f t="shared" si="37"/>
        <v>#DIV/0!</v>
      </c>
      <c r="P44" s="82">
        <f>P43/P32</f>
        <v>51.344267868264453</v>
      </c>
      <c r="Q44" s="82">
        <f t="shared" ref="Q44:T44" si="38">Q43/Q32</f>
        <v>16.239999760595975</v>
      </c>
      <c r="R44" s="82" t="e">
        <f>R43/R32</f>
        <v>#DIV/0!</v>
      </c>
      <c r="S44" s="82" t="e">
        <f t="shared" si="38"/>
        <v>#DIV/0!</v>
      </c>
      <c r="T44" s="82">
        <f t="shared" si="38"/>
        <v>32.930276165185141</v>
      </c>
    </row>
    <row r="45" spans="1:27">
      <c r="A45" s="42">
        <v>35</v>
      </c>
      <c r="B45" s="17" t="s">
        <v>95</v>
      </c>
      <c r="C45" s="42" t="str">
        <f>"("&amp;A$19&amp;") - ("&amp;A43&amp;")"</f>
        <v>(9) - (33)</v>
      </c>
      <c r="D45" s="93">
        <f t="shared" ref="D45:I45" si="39">D34-D43</f>
        <v>17112.797184240684</v>
      </c>
      <c r="E45" s="93">
        <f t="shared" si="39"/>
        <v>-39702.836574838468</v>
      </c>
      <c r="F45" s="93">
        <f t="shared" si="39"/>
        <v>-68971.503680540773</v>
      </c>
      <c r="G45" s="93">
        <f t="shared" si="39"/>
        <v>-13839.473413388943</v>
      </c>
      <c r="H45" s="93">
        <f t="shared" si="39"/>
        <v>-4433.8507298612094</v>
      </c>
      <c r="I45" s="109">
        <f t="shared" si="39"/>
        <v>5184.3892074971736</v>
      </c>
      <c r="J45" s="93">
        <f t="shared" ref="J45:O45" si="40">J34-J43</f>
        <v>0</v>
      </c>
      <c r="K45" s="93">
        <f t="shared" si="40"/>
        <v>0</v>
      </c>
      <c r="L45" s="93">
        <f t="shared" si="40"/>
        <v>0</v>
      </c>
      <c r="M45" s="93">
        <f t="shared" si="40"/>
        <v>0</v>
      </c>
      <c r="N45" s="93">
        <f t="shared" si="40"/>
        <v>0</v>
      </c>
      <c r="O45" s="93">
        <f t="shared" si="40"/>
        <v>0</v>
      </c>
      <c r="P45" s="44">
        <f>SUM(D45:F45)</f>
        <v>-91561.543071138556</v>
      </c>
      <c r="Q45" s="44">
        <f>SUM(G45:I45)</f>
        <v>-13088.934935752979</v>
      </c>
      <c r="R45" s="44">
        <f>SUM(J45:L45)</f>
        <v>0</v>
      </c>
      <c r="S45" s="44">
        <f>SUM(M45:O45)</f>
        <v>0</v>
      </c>
      <c r="T45" s="44">
        <f>SUM(D45:O45)</f>
        <v>-104650.47800689153</v>
      </c>
    </row>
    <row r="46" spans="1:27">
      <c r="A46" s="64">
        <v>36</v>
      </c>
      <c r="B46" s="17"/>
      <c r="C46" s="42"/>
      <c r="D46" s="93"/>
      <c r="E46" s="93"/>
      <c r="F46" s="93"/>
      <c r="G46" s="93"/>
      <c r="H46" s="93"/>
      <c r="I46" s="109"/>
      <c r="J46" s="93"/>
      <c r="K46" s="93"/>
      <c r="L46" s="93"/>
      <c r="M46" s="93"/>
      <c r="N46" s="93"/>
      <c r="O46" s="93"/>
    </row>
    <row r="47" spans="1:27">
      <c r="A47" s="98">
        <v>37</v>
      </c>
      <c r="B47" s="99" t="s">
        <v>96</v>
      </c>
      <c r="C47" s="98" t="str">
        <f>"("&amp;A$28&amp;") + ("&amp;A45&amp;")"</f>
        <v>(18) + (35)</v>
      </c>
      <c r="D47" s="100">
        <f t="shared" ref="D47:I47" si="41">D28+D45</f>
        <v>-113818.83668508226</v>
      </c>
      <c r="E47" s="100">
        <f t="shared" si="41"/>
        <v>-1290223.6795831709</v>
      </c>
      <c r="F47" s="100">
        <f t="shared" si="41"/>
        <v>-68130.838273652422</v>
      </c>
      <c r="G47" s="100">
        <f t="shared" si="41"/>
        <v>106752.77704200591</v>
      </c>
      <c r="H47" s="100">
        <f t="shared" si="41"/>
        <v>243058.65104423286</v>
      </c>
      <c r="I47" s="180">
        <f t="shared" si="41"/>
        <v>62881.622597437286</v>
      </c>
      <c r="J47" s="100">
        <f t="shared" ref="J47:O47" si="42">J28+J45</f>
        <v>0</v>
      </c>
      <c r="K47" s="100">
        <f t="shared" si="42"/>
        <v>0</v>
      </c>
      <c r="L47" s="100">
        <f t="shared" si="42"/>
        <v>0</v>
      </c>
      <c r="M47" s="100">
        <f t="shared" si="42"/>
        <v>0</v>
      </c>
      <c r="N47" s="100">
        <f t="shared" si="42"/>
        <v>0</v>
      </c>
      <c r="O47" s="100">
        <f t="shared" si="42"/>
        <v>0</v>
      </c>
      <c r="P47" s="100">
        <f>SUM(D47:F47)</f>
        <v>-1472173.3545419055</v>
      </c>
      <c r="Q47" s="100">
        <f>SUM(G47:I47)</f>
        <v>412693.05068367609</v>
      </c>
      <c r="R47" s="100">
        <f>SUM(J47:L47)</f>
        <v>0</v>
      </c>
      <c r="S47" s="100">
        <f>SUM(M47:O47)</f>
        <v>0</v>
      </c>
      <c r="T47" s="100">
        <f>SUM(D47:O47)</f>
        <v>-1059480.3038582294</v>
      </c>
      <c r="V47" s="131">
        <f>J47+J48</f>
        <v>0</v>
      </c>
      <c r="W47" s="131">
        <f t="shared" ref="W47:X47" si="43">K47+K48</f>
        <v>0</v>
      </c>
      <c r="X47" s="131">
        <f t="shared" si="43"/>
        <v>0</v>
      </c>
      <c r="Y47" s="131"/>
      <c r="Z47" s="131"/>
      <c r="AA47" s="131"/>
    </row>
    <row r="48" spans="1:27">
      <c r="A48" s="101">
        <v>38</v>
      </c>
      <c r="B48" s="99" t="s">
        <v>22</v>
      </c>
      <c r="C48" s="102" t="s">
        <v>23</v>
      </c>
      <c r="D48" s="100">
        <f>D47*-0.005839</f>
        <v>664.58818740419531</v>
      </c>
      <c r="E48" s="100">
        <f>E47*-0.005839</f>
        <v>7533.6160650861348</v>
      </c>
      <c r="F48" s="100">
        <f>F47*-0.005839</f>
        <v>397.81596467985645</v>
      </c>
      <c r="G48" s="100">
        <f t="shared" ref="G48:O48" si="44">G47*-0.005839</f>
        <v>-623.32946514827245</v>
      </c>
      <c r="H48" s="100">
        <f t="shared" si="44"/>
        <v>-1419.2194634472755</v>
      </c>
      <c r="I48" s="100">
        <f t="shared" si="44"/>
        <v>-367.16579434643631</v>
      </c>
      <c r="J48" s="100">
        <f t="shared" si="44"/>
        <v>0</v>
      </c>
      <c r="K48" s="100">
        <f t="shared" si="44"/>
        <v>0</v>
      </c>
      <c r="L48" s="100">
        <f t="shared" si="44"/>
        <v>0</v>
      </c>
      <c r="M48" s="100">
        <f t="shared" si="44"/>
        <v>0</v>
      </c>
      <c r="N48" s="100">
        <f t="shared" si="44"/>
        <v>0</v>
      </c>
      <c r="O48" s="100">
        <f t="shared" si="44"/>
        <v>0</v>
      </c>
      <c r="P48" s="100">
        <f>SUM(D48:F48)</f>
        <v>8596.0202171701858</v>
      </c>
      <c r="Q48" s="100">
        <f>SUM(G48:I48)</f>
        <v>-2409.7147229419843</v>
      </c>
      <c r="R48" s="100">
        <f>SUM(J48:L48)</f>
        <v>0</v>
      </c>
      <c r="S48" s="100">
        <f>SUM(M48:O48)</f>
        <v>0</v>
      </c>
      <c r="T48" s="100">
        <f>SUM(D48:O48)</f>
        <v>6186.3054942282024</v>
      </c>
    </row>
    <row r="49" spans="1:20">
      <c r="A49" s="42">
        <v>39</v>
      </c>
      <c r="B49" s="17"/>
      <c r="C49" s="3" t="s">
        <v>97</v>
      </c>
      <c r="D49" s="103">
        <v>0.02</v>
      </c>
      <c r="E49" s="103">
        <f>D49</f>
        <v>0.02</v>
      </c>
      <c r="F49" s="103">
        <f t="shared" ref="F49:G49" si="45">E49</f>
        <v>0.02</v>
      </c>
      <c r="G49" s="103">
        <f t="shared" si="45"/>
        <v>0.02</v>
      </c>
      <c r="H49" s="103">
        <f>G49</f>
        <v>0.02</v>
      </c>
      <c r="I49" s="181">
        <f t="shared" ref="I49:O49" si="46">H49</f>
        <v>0.02</v>
      </c>
      <c r="J49" s="181">
        <v>0</v>
      </c>
      <c r="K49" s="181">
        <f t="shared" ref="K49" si="47">J49</f>
        <v>0</v>
      </c>
      <c r="L49" s="181">
        <f t="shared" ref="L49:M49" si="48">K49</f>
        <v>0</v>
      </c>
      <c r="M49" s="181">
        <f t="shared" si="48"/>
        <v>0</v>
      </c>
      <c r="N49" s="103">
        <f t="shared" si="46"/>
        <v>0</v>
      </c>
      <c r="O49" s="103">
        <f t="shared" si="46"/>
        <v>0</v>
      </c>
    </row>
    <row r="50" spans="1:20">
      <c r="A50" s="101">
        <v>40</v>
      </c>
      <c r="B50" s="99" t="s">
        <v>24</v>
      </c>
      <c r="C50" s="99" t="s">
        <v>28</v>
      </c>
      <c r="D50" s="104">
        <f>(D47+D48)/2*D49/12</f>
        <v>-94.295207081398402</v>
      </c>
      <c r="E50" s="104">
        <f>(D53+(E47+E48)/2)*E49/12</f>
        <v>-1257.6559591063365</v>
      </c>
      <c r="F50" s="104">
        <f t="shared" ref="F50" si="49">(E53+(F47+F48)/2)*F49/12</f>
        <v>-2385.1046238940617</v>
      </c>
      <c r="G50" s="104">
        <f t="shared" ref="G50" si="50">(F53+(G47+G48)/2)*G49/12</f>
        <v>-2357.0827772106472</v>
      </c>
      <c r="H50" s="104">
        <f t="shared" ref="H50" si="51">(G53+(H47+H48)/2)*H49/12</f>
        <v>-2071.2038492079623</v>
      </c>
      <c r="I50" s="182">
        <f t="shared" ref="I50" si="52">(H53+(I47+I48)/2)*I49/12</f>
        <v>-1821.1942819700789</v>
      </c>
      <c r="J50" s="104">
        <f t="shared" ref="J50:O50" si="53">(I53+(J47+J48)/2)*J49/12</f>
        <v>0</v>
      </c>
      <c r="K50" s="104">
        <f t="shared" si="53"/>
        <v>0</v>
      </c>
      <c r="L50" s="104">
        <f>(K53+(L47+L48)/2)*L49/12</f>
        <v>0</v>
      </c>
      <c r="M50" s="104">
        <f t="shared" si="53"/>
        <v>0</v>
      </c>
      <c r="N50" s="104">
        <f t="shared" si="53"/>
        <v>0</v>
      </c>
      <c r="O50" s="104">
        <f t="shared" si="53"/>
        <v>0</v>
      </c>
      <c r="P50" s="104">
        <f>SUM(D50:F50)</f>
        <v>-3737.0557900817967</v>
      </c>
      <c r="Q50" s="104">
        <f>SUM(G50:I50)</f>
        <v>-6249.4809083886885</v>
      </c>
      <c r="R50" s="104">
        <f>SUM(J50:L50)</f>
        <v>0</v>
      </c>
      <c r="S50" s="104">
        <f>SUM(M50:O50)</f>
        <v>0</v>
      </c>
      <c r="T50" s="104">
        <f>SUM(D50:O50)</f>
        <v>-9986.5366984704851</v>
      </c>
    </row>
    <row r="51" spans="1:20">
      <c r="A51" s="105">
        <v>41</v>
      </c>
      <c r="B51" s="106" t="s">
        <v>25</v>
      </c>
      <c r="C51" s="107"/>
      <c r="D51" s="108">
        <f>D47+D48+D50</f>
        <v>-113248.54370475946</v>
      </c>
      <c r="E51" s="108">
        <f t="shared" ref="E51:I51" si="54">E47+E48+E50</f>
        <v>-1283947.7194771911</v>
      </c>
      <c r="F51" s="108">
        <f t="shared" si="54"/>
        <v>-70118.126932866624</v>
      </c>
      <c r="G51" s="108">
        <f t="shared" si="54"/>
        <v>103772.364799647</v>
      </c>
      <c r="H51" s="108">
        <f t="shared" si="54"/>
        <v>239568.22773157762</v>
      </c>
      <c r="I51" s="193">
        <f t="shared" si="54"/>
        <v>60693.262521120771</v>
      </c>
      <c r="J51" s="108">
        <f t="shared" ref="J51:O51" si="55">J47+J48+J50</f>
        <v>0</v>
      </c>
      <c r="K51" s="108">
        <f t="shared" si="55"/>
        <v>0</v>
      </c>
      <c r="L51" s="108">
        <f>L47+L48+L50</f>
        <v>0</v>
      </c>
      <c r="M51" s="108">
        <f t="shared" si="55"/>
        <v>0</v>
      </c>
      <c r="N51" s="108">
        <f t="shared" si="55"/>
        <v>0</v>
      </c>
      <c r="O51" s="108">
        <f t="shared" si="55"/>
        <v>0</v>
      </c>
      <c r="P51" s="108">
        <f>P47+P48+P50</f>
        <v>-1467314.3901148171</v>
      </c>
      <c r="Q51" s="108">
        <f t="shared" ref="Q51:T51" si="56">Q47+Q48+Q50</f>
        <v>404033.85505234543</v>
      </c>
      <c r="R51" s="108">
        <f t="shared" si="56"/>
        <v>0</v>
      </c>
      <c r="S51" s="108">
        <f t="shared" si="56"/>
        <v>0</v>
      </c>
      <c r="T51" s="108">
        <f t="shared" si="56"/>
        <v>-1063280.5350624719</v>
      </c>
    </row>
    <row r="52" spans="1:20">
      <c r="A52" s="64">
        <v>42</v>
      </c>
      <c r="B52" s="17"/>
      <c r="C52" s="42"/>
      <c r="D52" s="94"/>
      <c r="E52" s="94"/>
      <c r="F52" s="94"/>
      <c r="G52" s="94"/>
      <c r="H52" s="94"/>
      <c r="I52" s="176"/>
      <c r="J52" s="94"/>
      <c r="K52" s="94"/>
      <c r="L52" s="94"/>
      <c r="M52" s="94"/>
      <c r="N52" s="94"/>
      <c r="O52" s="94"/>
    </row>
    <row r="53" spans="1:20">
      <c r="A53" s="42">
        <v>43</v>
      </c>
      <c r="B53" s="17" t="s">
        <v>98</v>
      </c>
      <c r="C53" s="42" t="str">
        <f>"Σ(("&amp;A$47&amp;"), ("&amp;A48&amp;"), ("&amp;A50&amp;"))"</f>
        <v>Σ((37), (38), (40))</v>
      </c>
      <c r="D53" s="93">
        <f>D50+D48+D47</f>
        <v>-113248.54370475946</v>
      </c>
      <c r="E53" s="93">
        <f t="shared" ref="E53" si="57">D53+E47+E48+E50</f>
        <v>-1397196.2631819507</v>
      </c>
      <c r="F53" s="93">
        <f t="shared" ref="F53" si="58">E53+F47+F48+F50</f>
        <v>-1467314.3901148171</v>
      </c>
      <c r="G53" s="93">
        <f t="shared" ref="G53" si="59">F53+G47+G48+G50</f>
        <v>-1363542.0253151702</v>
      </c>
      <c r="H53" s="93">
        <f t="shared" ref="H53" si="60">G53+H47+H48+H50</f>
        <v>-1123973.7975835928</v>
      </c>
      <c r="I53" s="109">
        <f t="shared" ref="I53" si="61">H53+I47+I48+I50</f>
        <v>-1063280.5350624721</v>
      </c>
      <c r="J53" s="93">
        <f t="shared" ref="J53" si="62">I53+J47+J48+J50</f>
        <v>-1063280.5350624721</v>
      </c>
      <c r="K53" s="93">
        <f t="shared" ref="K53:O53" si="63">J53+K47+K48+K50</f>
        <v>-1063280.5350624721</v>
      </c>
      <c r="L53" s="93">
        <f>K53+L47+L48+L50</f>
        <v>-1063280.5350624721</v>
      </c>
      <c r="M53" s="93">
        <f t="shared" si="63"/>
        <v>-1063280.5350624721</v>
      </c>
      <c r="N53" s="93">
        <f t="shared" si="63"/>
        <v>-1063280.5350624721</v>
      </c>
      <c r="O53" s="93">
        <f t="shared" si="63"/>
        <v>-1063280.5350624721</v>
      </c>
    </row>
    <row r="54" spans="1:20">
      <c r="A54" s="42"/>
      <c r="B54" s="17"/>
      <c r="C54" s="42"/>
      <c r="D54" s="93"/>
      <c r="E54" s="93"/>
      <c r="F54" s="93"/>
      <c r="G54" s="93"/>
      <c r="H54" s="93"/>
      <c r="I54" s="109"/>
      <c r="J54" s="93"/>
      <c r="K54" s="93"/>
      <c r="L54" s="93"/>
      <c r="M54" s="93"/>
      <c r="N54" s="93"/>
      <c r="O54" s="109"/>
    </row>
    <row r="55" spans="1:20">
      <c r="A55" s="42"/>
      <c r="B55" s="1" t="s">
        <v>26</v>
      </c>
      <c r="C55" s="42"/>
      <c r="D55" s="93"/>
      <c r="E55" s="93"/>
      <c r="F55" s="93"/>
      <c r="G55" s="93"/>
      <c r="H55" s="93"/>
      <c r="I55" s="109"/>
      <c r="J55" s="93"/>
      <c r="K55" s="93"/>
      <c r="L55" s="93"/>
      <c r="M55" s="93"/>
      <c r="N55" s="93"/>
      <c r="O55" s="93"/>
    </row>
    <row r="56" spans="1:20" ht="6.75" customHeight="1">
      <c r="A56" s="42"/>
      <c r="B56" s="1"/>
      <c r="C56" s="42"/>
      <c r="D56" s="93"/>
      <c r="E56" s="93"/>
      <c r="F56" s="93"/>
      <c r="G56" s="93"/>
      <c r="H56" s="93"/>
      <c r="I56" s="109"/>
      <c r="J56" s="93"/>
      <c r="K56" s="93"/>
      <c r="L56" s="93"/>
      <c r="M56" s="93"/>
      <c r="N56" s="93"/>
      <c r="O56" s="93"/>
    </row>
    <row r="57" spans="1:20">
      <c r="A57" s="42">
        <v>1</v>
      </c>
      <c r="B57" s="17" t="s">
        <v>74</v>
      </c>
      <c r="C57" s="42" t="s">
        <v>75</v>
      </c>
      <c r="D57" s="121">
        <v>1511</v>
      </c>
      <c r="E57" s="121">
        <v>1511</v>
      </c>
      <c r="F57" s="121">
        <v>1513</v>
      </c>
      <c r="G57" s="121">
        <v>1511</v>
      </c>
      <c r="H57" s="121">
        <v>1506</v>
      </c>
      <c r="I57" s="198">
        <v>1498</v>
      </c>
      <c r="J57" s="121"/>
      <c r="K57" s="121"/>
      <c r="L57" s="121"/>
      <c r="M57" s="121"/>
      <c r="N57" s="121"/>
      <c r="O57" s="121"/>
      <c r="P57" s="43">
        <f t="shared" ref="P57:P60" si="64">SUM(D57:F57)</f>
        <v>4535</v>
      </c>
      <c r="Q57" s="43">
        <f t="shared" ref="Q57:Q60" si="65">SUM(G57:I57)</f>
        <v>4515</v>
      </c>
      <c r="R57" s="43">
        <f t="shared" ref="R57:R60" si="66">SUM(J57:L57)</f>
        <v>0</v>
      </c>
      <c r="S57" s="43">
        <f t="shared" ref="S57:S60" si="67">SUM(M57:O57)</f>
        <v>0</v>
      </c>
      <c r="T57" s="43">
        <f t="shared" ref="T57:T60" si="68">SUM(D57:O57)</f>
        <v>9050</v>
      </c>
    </row>
    <row r="58" spans="1:20">
      <c r="A58" s="42">
        <v>2</v>
      </c>
      <c r="B58" s="17" t="s">
        <v>118</v>
      </c>
      <c r="C58" s="42" t="s">
        <v>75</v>
      </c>
      <c r="D58" s="121">
        <v>3269759.0463699996</v>
      </c>
      <c r="E58" s="121">
        <v>3778824.1247699996</v>
      </c>
      <c r="F58" s="121">
        <v>2822890.8959000004</v>
      </c>
      <c r="G58" s="121">
        <v>1922602.7569400002</v>
      </c>
      <c r="H58" s="121">
        <v>1217627.6067300001</v>
      </c>
      <c r="I58" s="198">
        <v>1139612.8519600001</v>
      </c>
      <c r="J58" s="121"/>
      <c r="K58" s="121"/>
      <c r="L58" s="121"/>
      <c r="M58" s="121"/>
      <c r="N58" s="121"/>
      <c r="O58" s="121"/>
      <c r="P58" s="43">
        <f t="shared" si="64"/>
        <v>9871474.0670400001</v>
      </c>
      <c r="Q58" s="43">
        <f t="shared" si="65"/>
        <v>4279843.2156300005</v>
      </c>
      <c r="R58" s="43">
        <f t="shared" si="66"/>
        <v>0</v>
      </c>
      <c r="S58" s="43">
        <f t="shared" si="67"/>
        <v>0</v>
      </c>
      <c r="T58" s="43">
        <f t="shared" si="68"/>
        <v>14151317.282669999</v>
      </c>
    </row>
    <row r="59" spans="1:20">
      <c r="A59" s="42">
        <v>3</v>
      </c>
      <c r="B59" s="17" t="s">
        <v>77</v>
      </c>
      <c r="C59" s="42" t="s">
        <v>75</v>
      </c>
      <c r="D59" s="122">
        <v>965985.18394999998</v>
      </c>
      <c r="E59" s="122">
        <v>898887.57903999998</v>
      </c>
      <c r="F59" s="122">
        <v>729032.87799000007</v>
      </c>
      <c r="G59" s="122">
        <v>587216.37442999997</v>
      </c>
      <c r="H59" s="122">
        <v>419046.45453000005</v>
      </c>
      <c r="I59" s="199">
        <v>378881.07801</v>
      </c>
      <c r="J59" s="122"/>
      <c r="K59" s="122"/>
      <c r="L59" s="122"/>
      <c r="M59" s="122"/>
      <c r="N59" s="122"/>
      <c r="O59" s="122"/>
      <c r="P59" s="163">
        <f t="shared" si="64"/>
        <v>2593905.6409800001</v>
      </c>
      <c r="Q59" s="163">
        <f t="shared" si="65"/>
        <v>1385143.9069700001</v>
      </c>
      <c r="R59" s="163">
        <f t="shared" si="66"/>
        <v>0</v>
      </c>
      <c r="S59" s="163">
        <f t="shared" si="67"/>
        <v>0</v>
      </c>
      <c r="T59" s="163">
        <f t="shared" si="68"/>
        <v>3979049.54795</v>
      </c>
    </row>
    <row r="60" spans="1:20">
      <c r="A60" s="42">
        <v>4</v>
      </c>
      <c r="B60" s="17" t="s">
        <v>78</v>
      </c>
      <c r="C60" s="42" t="s">
        <v>75</v>
      </c>
      <c r="D60" s="122">
        <v>157848.88999999998</v>
      </c>
      <c r="E60" s="122">
        <v>160720.01</v>
      </c>
      <c r="F60" s="122">
        <v>160881.63</v>
      </c>
      <c r="G60" s="122">
        <v>160630.93999999997</v>
      </c>
      <c r="H60" s="122">
        <v>160375.63999999998</v>
      </c>
      <c r="I60" s="199">
        <v>158926.90999999997</v>
      </c>
      <c r="J60" s="122"/>
      <c r="K60" s="122"/>
      <c r="L60" s="122"/>
      <c r="M60" s="122"/>
      <c r="N60" s="122"/>
      <c r="O60" s="122"/>
      <c r="P60" s="163">
        <f t="shared" si="64"/>
        <v>479450.53</v>
      </c>
      <c r="Q60" s="163">
        <f t="shared" si="65"/>
        <v>479933.48999999993</v>
      </c>
      <c r="R60" s="163">
        <f t="shared" si="66"/>
        <v>0</v>
      </c>
      <c r="S60" s="163">
        <f t="shared" si="67"/>
        <v>0</v>
      </c>
      <c r="T60" s="163">
        <f t="shared" si="68"/>
        <v>959384.02</v>
      </c>
    </row>
    <row r="61" spans="1:20" ht="6" customHeight="1">
      <c r="A61" s="42">
        <v>5</v>
      </c>
      <c r="B61" s="17"/>
      <c r="C61" s="42"/>
      <c r="D61" s="93"/>
      <c r="E61" s="93"/>
      <c r="F61" s="93"/>
      <c r="G61" s="93"/>
      <c r="H61" s="93"/>
      <c r="I61" s="109"/>
      <c r="J61" s="93"/>
      <c r="K61" s="93"/>
      <c r="L61" s="93"/>
      <c r="M61" s="93"/>
      <c r="N61" s="93"/>
      <c r="O61" s="93"/>
      <c r="P61" s="43"/>
      <c r="Q61" s="43"/>
      <c r="R61" s="43"/>
      <c r="S61" s="43"/>
      <c r="T61" s="43"/>
    </row>
    <row r="62" spans="1:20">
      <c r="A62" s="42">
        <v>6</v>
      </c>
      <c r="B62" s="86" t="str">
        <f t="shared" ref="B62" si="69">B16</f>
        <v>Existing Customers</v>
      </c>
      <c r="C62" s="42"/>
      <c r="D62" s="93"/>
      <c r="E62" s="93"/>
      <c r="F62" s="93"/>
      <c r="G62" s="93"/>
      <c r="H62" s="93"/>
      <c r="I62" s="109"/>
      <c r="J62" s="93"/>
      <c r="K62" s="93"/>
      <c r="L62" s="93"/>
      <c r="M62" s="93"/>
      <c r="N62" s="93"/>
      <c r="O62" s="93"/>
      <c r="P62" s="43"/>
      <c r="Q62" s="43"/>
      <c r="R62" s="43"/>
      <c r="S62" s="43"/>
      <c r="T62" s="43"/>
    </row>
    <row r="63" spans="1:20">
      <c r="A63" s="42">
        <v>7</v>
      </c>
      <c r="B63" s="17" t="str">
        <f>B17</f>
        <v>Actual Customers on System During Test Year</v>
      </c>
      <c r="C63" s="42" t="str">
        <f>C17</f>
        <v>(1) - (22)</v>
      </c>
      <c r="D63" s="89">
        <f t="shared" ref="D63:I63" si="70">D57-D78</f>
        <v>1481</v>
      </c>
      <c r="E63" s="89">
        <f t="shared" si="70"/>
        <v>1481</v>
      </c>
      <c r="F63" s="89">
        <f t="shared" si="70"/>
        <v>1480</v>
      </c>
      <c r="G63" s="89">
        <f t="shared" si="70"/>
        <v>1479</v>
      </c>
      <c r="H63" s="89">
        <f t="shared" si="70"/>
        <v>1472</v>
      </c>
      <c r="I63" s="174">
        <f t="shared" si="70"/>
        <v>1463</v>
      </c>
      <c r="J63" s="89">
        <f t="shared" ref="J63:O63" si="71">J57-J78</f>
        <v>0</v>
      </c>
      <c r="K63" s="89">
        <f t="shared" si="71"/>
        <v>0</v>
      </c>
      <c r="L63" s="89">
        <f t="shared" si="71"/>
        <v>0</v>
      </c>
      <c r="M63" s="89">
        <f t="shared" si="71"/>
        <v>0</v>
      </c>
      <c r="N63" s="89">
        <f t="shared" si="71"/>
        <v>0</v>
      </c>
      <c r="O63" s="89">
        <f t="shared" si="71"/>
        <v>0</v>
      </c>
      <c r="P63" s="43">
        <f>SUM(D63:F63)</f>
        <v>4442</v>
      </c>
      <c r="Q63" s="43">
        <f>SUM(G63:I63)</f>
        <v>4414</v>
      </c>
      <c r="R63" s="43">
        <f>SUM(J63:L63)</f>
        <v>0</v>
      </c>
      <c r="S63" s="43">
        <f>SUM(M63:O63)</f>
        <v>0</v>
      </c>
      <c r="T63" s="43">
        <f>SUM(D63:O63)</f>
        <v>8856</v>
      </c>
    </row>
    <row r="64" spans="1:20">
      <c r="A64" s="90">
        <v>8</v>
      </c>
      <c r="B64" s="17" t="str">
        <f t="shared" ref="B64:C79" si="72">B18</f>
        <v>Monthly Fixed Cost Adj. Revenue per Customer</v>
      </c>
      <c r="C64" s="42" t="str">
        <f t="shared" si="72"/>
        <v>Page 3</v>
      </c>
      <c r="D64" s="91">
        <v>444.18280687179617</v>
      </c>
      <c r="E64" s="91">
        <v>408.07268055005784</v>
      </c>
      <c r="F64" s="91">
        <v>352.18738916487922</v>
      </c>
      <c r="G64" s="91">
        <v>254.6265167795666</v>
      </c>
      <c r="H64" s="91">
        <v>204.34581387213407</v>
      </c>
      <c r="I64" s="179">
        <v>157.30625034146908</v>
      </c>
      <c r="J64" s="91">
        <v>159.92644695968579</v>
      </c>
      <c r="K64" s="91">
        <v>196.64431172335128</v>
      </c>
      <c r="L64" s="91">
        <v>151.80387986589415</v>
      </c>
      <c r="M64" s="91">
        <v>260.0480887975599</v>
      </c>
      <c r="N64" s="91">
        <v>396.32886037309447</v>
      </c>
      <c r="O64" s="91">
        <v>448.34695470051184</v>
      </c>
      <c r="P64" s="82">
        <f>P65/P63</f>
        <v>401.49205601886246</v>
      </c>
      <c r="Q64" s="82">
        <f>Q65/Q63</f>
        <v>205.60233361720202</v>
      </c>
      <c r="R64" s="82" t="e">
        <f>R65/R63</f>
        <v>#DIV/0!</v>
      </c>
      <c r="S64" s="82" t="e">
        <f>S65/S63</f>
        <v>#DIV/0!</v>
      </c>
      <c r="T64" s="82">
        <f>T65/T63</f>
        <v>303.85686691758315</v>
      </c>
    </row>
    <row r="65" spans="1:20">
      <c r="A65" s="42">
        <v>9</v>
      </c>
      <c r="B65" s="17" t="str">
        <f t="shared" si="72"/>
        <v>Fixed Cost Adjustment Revenue</v>
      </c>
      <c r="C65" s="42" t="str">
        <f t="shared" si="72"/>
        <v>(7) x (8)</v>
      </c>
      <c r="D65" s="93">
        <f t="shared" ref="D65:I65" si="73">D63*D64</f>
        <v>657834.73697713017</v>
      </c>
      <c r="E65" s="93">
        <f t="shared" si="73"/>
        <v>604355.63989463565</v>
      </c>
      <c r="F65" s="93">
        <f t="shared" si="73"/>
        <v>521237.33596402127</v>
      </c>
      <c r="G65" s="93">
        <f t="shared" si="73"/>
        <v>376592.61831697897</v>
      </c>
      <c r="H65" s="93">
        <f t="shared" si="73"/>
        <v>300797.03801978135</v>
      </c>
      <c r="I65" s="109">
        <f t="shared" si="73"/>
        <v>230139.04424956927</v>
      </c>
      <c r="J65" s="93">
        <f t="shared" ref="J65:O65" si="74">J63*J64</f>
        <v>0</v>
      </c>
      <c r="K65" s="93">
        <f t="shared" si="74"/>
        <v>0</v>
      </c>
      <c r="L65" s="93">
        <f>L63*L64</f>
        <v>0</v>
      </c>
      <c r="M65" s="93">
        <f t="shared" si="74"/>
        <v>0</v>
      </c>
      <c r="N65" s="93">
        <f t="shared" si="74"/>
        <v>0</v>
      </c>
      <c r="O65" s="93">
        <f t="shared" si="74"/>
        <v>0</v>
      </c>
      <c r="P65" s="44">
        <f>SUM(D65:F65)</f>
        <v>1783427.7128357871</v>
      </c>
      <c r="Q65" s="44">
        <f>SUM(G65:I65)</f>
        <v>907528.70058632968</v>
      </c>
      <c r="R65" s="44">
        <f>SUM(J65:L65)</f>
        <v>0</v>
      </c>
      <c r="S65" s="44">
        <f>SUM(M65:O65)</f>
        <v>0</v>
      </c>
      <c r="T65" s="44">
        <f>SUM(D65:O65)</f>
        <v>2690956.4134221165</v>
      </c>
    </row>
    <row r="66" spans="1:20" ht="6" customHeight="1">
      <c r="A66" s="42">
        <v>10</v>
      </c>
      <c r="B66" s="17"/>
      <c r="C66" s="42"/>
      <c r="D66" s="94"/>
      <c r="E66" s="94"/>
      <c r="F66" s="94"/>
      <c r="G66" s="94"/>
      <c r="H66" s="94"/>
      <c r="I66" s="176"/>
      <c r="J66" s="94"/>
      <c r="K66" s="94"/>
      <c r="L66" s="94"/>
      <c r="M66" s="94"/>
      <c r="N66" s="94"/>
      <c r="O66" s="94"/>
      <c r="P66" s="45"/>
      <c r="Q66" s="45"/>
      <c r="R66" s="45"/>
      <c r="S66" s="45"/>
      <c r="T66" s="45"/>
    </row>
    <row r="67" spans="1:20">
      <c r="A67" s="42">
        <v>11</v>
      </c>
      <c r="B67" s="17" t="str">
        <f t="shared" si="72"/>
        <v>Actual Base Rate Revenue</v>
      </c>
      <c r="C67" s="42" t="str">
        <f t="shared" si="72"/>
        <v>(3) - (26)</v>
      </c>
      <c r="D67" s="93">
        <f t="shared" ref="D67:I67" si="75">D59-D82</f>
        <v>946940.70395</v>
      </c>
      <c r="E67" s="93">
        <f t="shared" si="75"/>
        <v>876481.01903999993</v>
      </c>
      <c r="F67" s="93">
        <f t="shared" si="75"/>
        <v>700919.72799000004</v>
      </c>
      <c r="G67" s="93">
        <f t="shared" si="75"/>
        <v>569977.46442999993</v>
      </c>
      <c r="H67" s="93">
        <f t="shared" si="75"/>
        <v>405204.43453000003</v>
      </c>
      <c r="I67" s="109">
        <f t="shared" si="75"/>
        <v>367567.56800999999</v>
      </c>
      <c r="J67" s="93">
        <f t="shared" ref="J67:O68" si="76">J59-J82</f>
        <v>0</v>
      </c>
      <c r="K67" s="93">
        <f t="shared" si="76"/>
        <v>0</v>
      </c>
      <c r="L67" s="93">
        <f t="shared" si="76"/>
        <v>0</v>
      </c>
      <c r="M67" s="93">
        <f t="shared" si="76"/>
        <v>0</v>
      </c>
      <c r="N67" s="93">
        <f t="shared" si="76"/>
        <v>0</v>
      </c>
      <c r="O67" s="93">
        <f t="shared" si="76"/>
        <v>0</v>
      </c>
      <c r="P67" s="93">
        <f t="shared" ref="P67:T67" si="77">P59-P82</f>
        <v>2524341.4509800002</v>
      </c>
      <c r="Q67" s="93">
        <f t="shared" si="77"/>
        <v>1342749.4669700002</v>
      </c>
      <c r="R67" s="93">
        <f t="shared" si="77"/>
        <v>0</v>
      </c>
      <c r="S67" s="93">
        <f t="shared" si="77"/>
        <v>0</v>
      </c>
      <c r="T67" s="93">
        <f t="shared" si="77"/>
        <v>3867090.9179500001</v>
      </c>
    </row>
    <row r="68" spans="1:20">
      <c r="A68" s="42">
        <v>12</v>
      </c>
      <c r="B68" s="17" t="str">
        <f t="shared" si="72"/>
        <v>Actual Fixed Charge Revenue</v>
      </c>
      <c r="C68" s="42" t="str">
        <f t="shared" si="72"/>
        <v>(4) - (27)</v>
      </c>
      <c r="D68" s="93">
        <f t="shared" ref="D68:I68" si="78">D60-D83</f>
        <v>154837.16999999998</v>
      </c>
      <c r="E68" s="93">
        <f t="shared" si="78"/>
        <v>157534.58000000002</v>
      </c>
      <c r="F68" s="93">
        <f t="shared" si="78"/>
        <v>154678.22</v>
      </c>
      <c r="G68" s="93">
        <f t="shared" si="78"/>
        <v>156694.30999999997</v>
      </c>
      <c r="H68" s="93">
        <f t="shared" si="78"/>
        <v>156049.16999999998</v>
      </c>
      <c r="I68" s="109">
        <f t="shared" si="78"/>
        <v>154397.47999999998</v>
      </c>
      <c r="J68" s="93">
        <f t="shared" si="76"/>
        <v>0</v>
      </c>
      <c r="K68" s="93">
        <f t="shared" si="76"/>
        <v>0</v>
      </c>
      <c r="L68" s="93">
        <f t="shared" si="76"/>
        <v>0</v>
      </c>
      <c r="M68" s="93">
        <f t="shared" si="76"/>
        <v>0</v>
      </c>
      <c r="N68" s="93">
        <f t="shared" si="76"/>
        <v>0</v>
      </c>
      <c r="O68" s="93">
        <f t="shared" si="76"/>
        <v>0</v>
      </c>
      <c r="P68" s="93">
        <f t="shared" ref="P68:T68" si="79">P60-P83</f>
        <v>467049.97000000003</v>
      </c>
      <c r="Q68" s="93">
        <f t="shared" si="79"/>
        <v>467140.9599999999</v>
      </c>
      <c r="R68" s="93">
        <f t="shared" si="79"/>
        <v>0</v>
      </c>
      <c r="S68" s="93">
        <f t="shared" si="79"/>
        <v>0</v>
      </c>
      <c r="T68" s="93">
        <f t="shared" si="79"/>
        <v>934190.93</v>
      </c>
    </row>
    <row r="69" spans="1:20">
      <c r="A69" s="42">
        <v>13</v>
      </c>
      <c r="B69" s="17" t="str">
        <f t="shared" si="72"/>
        <v>Actual Usage (Therms)</v>
      </c>
      <c r="C69" s="42" t="str">
        <f t="shared" si="72"/>
        <v>(2) - (28)</v>
      </c>
      <c r="D69" s="89">
        <f t="shared" ref="D69:I69" si="80">D58-D84</f>
        <v>3197263.5833699997</v>
      </c>
      <c r="E69" s="89">
        <f t="shared" si="80"/>
        <v>3691291.6217699996</v>
      </c>
      <c r="F69" s="89">
        <f t="shared" si="80"/>
        <v>2715394.6059000003</v>
      </c>
      <c r="G69" s="89">
        <f t="shared" si="80"/>
        <v>1860301.7469400002</v>
      </c>
      <c r="H69" s="89">
        <f t="shared" si="80"/>
        <v>1169742.9347300001</v>
      </c>
      <c r="I69" s="174">
        <f t="shared" si="80"/>
        <v>1102711.1929600001</v>
      </c>
      <c r="J69" s="89">
        <f t="shared" ref="J69:O69" si="81">J58-J84</f>
        <v>0</v>
      </c>
      <c r="K69" s="89">
        <f t="shared" si="81"/>
        <v>0</v>
      </c>
      <c r="L69" s="89">
        <f t="shared" si="81"/>
        <v>0</v>
      </c>
      <c r="M69" s="89">
        <f t="shared" si="81"/>
        <v>0</v>
      </c>
      <c r="N69" s="89">
        <f t="shared" si="81"/>
        <v>0</v>
      </c>
      <c r="O69" s="89">
        <f t="shared" si="81"/>
        <v>0</v>
      </c>
      <c r="P69" s="89">
        <f t="shared" ref="P69:T69" si="82">P58-P84</f>
        <v>9603949.811040001</v>
      </c>
      <c r="Q69" s="89">
        <f t="shared" si="82"/>
        <v>4132755.8746300004</v>
      </c>
      <c r="R69" s="89">
        <f t="shared" si="82"/>
        <v>0</v>
      </c>
      <c r="S69" s="89">
        <f t="shared" si="82"/>
        <v>0</v>
      </c>
      <c r="T69" s="89">
        <f t="shared" si="82"/>
        <v>13736705.68567</v>
      </c>
    </row>
    <row r="70" spans="1:20" hidden="1">
      <c r="A70" s="42">
        <v>14</v>
      </c>
      <c r="B70" s="17"/>
      <c r="C70" s="42"/>
      <c r="D70" s="95"/>
      <c r="E70" s="95"/>
      <c r="F70" s="95"/>
      <c r="G70" s="95"/>
      <c r="H70" s="95"/>
      <c r="I70" s="177"/>
      <c r="J70" s="95"/>
      <c r="K70" s="95"/>
      <c r="L70" s="95"/>
      <c r="M70" s="95"/>
      <c r="N70" s="95"/>
      <c r="O70" s="95"/>
      <c r="P70" s="45"/>
      <c r="Q70" s="45"/>
      <c r="R70" s="45"/>
      <c r="S70" s="45"/>
      <c r="T70" s="45"/>
    </row>
    <row r="71" spans="1:20" ht="6" customHeight="1">
      <c r="A71" s="42">
        <v>15</v>
      </c>
      <c r="B71" s="17"/>
      <c r="C71" s="42"/>
      <c r="D71" s="93"/>
      <c r="E71" s="93"/>
      <c r="F71" s="93"/>
      <c r="G71" s="93"/>
      <c r="H71" s="93"/>
      <c r="I71" s="109"/>
      <c r="J71" s="93"/>
      <c r="K71" s="93"/>
      <c r="L71" s="93"/>
      <c r="M71" s="93"/>
      <c r="N71" s="93"/>
      <c r="O71" s="93"/>
      <c r="P71" s="45"/>
      <c r="Q71" s="45"/>
      <c r="R71" s="45"/>
      <c r="S71" s="45"/>
      <c r="T71" s="45"/>
    </row>
    <row r="72" spans="1:20">
      <c r="A72" s="42">
        <v>16</v>
      </c>
      <c r="B72" s="17" t="str">
        <f t="shared" si="72"/>
        <v>Customer Fixed Cost Adjustment Revenue</v>
      </c>
      <c r="C72" s="42" t="str">
        <f t="shared" si="72"/>
        <v>(11) - (12) -(15)</v>
      </c>
      <c r="D72" s="93">
        <f t="shared" ref="D72:I72" si="83">D67-D68-D71</f>
        <v>792103.53395000007</v>
      </c>
      <c r="E72" s="93">
        <f t="shared" si="83"/>
        <v>718946.43903999985</v>
      </c>
      <c r="F72" s="93">
        <f t="shared" si="83"/>
        <v>546241.50799000007</v>
      </c>
      <c r="G72" s="93">
        <f t="shared" si="83"/>
        <v>413283.15443</v>
      </c>
      <c r="H72" s="93">
        <f t="shared" si="83"/>
        <v>249155.26453000004</v>
      </c>
      <c r="I72" s="109">
        <f t="shared" si="83"/>
        <v>213170.08801000001</v>
      </c>
      <c r="J72" s="93">
        <f t="shared" ref="J72:O72" si="84">J67-J68-J71</f>
        <v>0</v>
      </c>
      <c r="K72" s="93">
        <f t="shared" si="84"/>
        <v>0</v>
      </c>
      <c r="L72" s="93">
        <f t="shared" si="84"/>
        <v>0</v>
      </c>
      <c r="M72" s="93">
        <f t="shared" si="84"/>
        <v>0</v>
      </c>
      <c r="N72" s="93">
        <f t="shared" si="84"/>
        <v>0</v>
      </c>
      <c r="O72" s="93">
        <f t="shared" si="84"/>
        <v>0</v>
      </c>
      <c r="P72" s="44">
        <f>SUM(D72:F72)</f>
        <v>2057291.48098</v>
      </c>
      <c r="Q72" s="44">
        <f>SUM(G72:I72)</f>
        <v>875608.50696999999</v>
      </c>
      <c r="R72" s="44">
        <f>SUM(J72:L72)</f>
        <v>0</v>
      </c>
      <c r="S72" s="44">
        <f>SUM(M72:O72)</f>
        <v>0</v>
      </c>
      <c r="T72" s="44">
        <f>SUM(D72:O72)</f>
        <v>2932899.98795</v>
      </c>
    </row>
    <row r="73" spans="1:20">
      <c r="A73" s="42">
        <v>17</v>
      </c>
      <c r="B73" s="3" t="s">
        <v>27</v>
      </c>
      <c r="C73" s="42"/>
      <c r="D73" s="112">
        <f t="shared" ref="D73:I73" si="85">D72/D63</f>
        <v>534.84370962187711</v>
      </c>
      <c r="E73" s="112">
        <f t="shared" si="85"/>
        <v>485.44661650236316</v>
      </c>
      <c r="F73" s="112">
        <f t="shared" si="85"/>
        <v>369.08209999324328</v>
      </c>
      <c r="G73" s="112">
        <f t="shared" si="85"/>
        <v>279.43418149425287</v>
      </c>
      <c r="H73" s="112">
        <f t="shared" si="85"/>
        <v>169.2630873165761</v>
      </c>
      <c r="I73" s="186">
        <f t="shared" si="85"/>
        <v>145.70751060150377</v>
      </c>
      <c r="J73" s="112" t="e">
        <f t="shared" ref="J73:O73" si="86">J72/J63</f>
        <v>#DIV/0!</v>
      </c>
      <c r="K73" s="112" t="e">
        <f t="shared" si="86"/>
        <v>#DIV/0!</v>
      </c>
      <c r="L73" s="112" t="e">
        <f t="shared" si="86"/>
        <v>#DIV/0!</v>
      </c>
      <c r="M73" s="112" t="e">
        <f t="shared" si="86"/>
        <v>#DIV/0!</v>
      </c>
      <c r="N73" s="112" t="e">
        <f t="shared" si="86"/>
        <v>#DIV/0!</v>
      </c>
      <c r="O73" s="112" t="e">
        <f t="shared" si="86"/>
        <v>#DIV/0!</v>
      </c>
      <c r="P73" s="82">
        <f>P72/P63</f>
        <v>463.14531314272853</v>
      </c>
      <c r="Q73" s="82">
        <f t="shared" ref="Q73" si="87">Q72/Q63</f>
        <v>198.37075373130946</v>
      </c>
      <c r="R73" s="82" t="e">
        <f t="shared" ref="R73" si="88">R72/R63</f>
        <v>#DIV/0!</v>
      </c>
      <c r="S73" s="82" t="e">
        <f t="shared" ref="S73" si="89">S72/S63</f>
        <v>#DIV/0!</v>
      </c>
      <c r="T73" s="82">
        <f t="shared" ref="T73" si="90">T72/T63</f>
        <v>331.17660207204153</v>
      </c>
    </row>
    <row r="74" spans="1:20">
      <c r="A74" s="42">
        <v>18</v>
      </c>
      <c r="B74" s="17" t="str">
        <f t="shared" si="72"/>
        <v>Existing Customer Deferral - Surcharge (Rebate)</v>
      </c>
      <c r="C74" s="42" t="str">
        <f t="shared" si="72"/>
        <v>(9) - (16)</v>
      </c>
      <c r="D74" s="93">
        <f t="shared" ref="D74:I74" si="91">D65-D72</f>
        <v>-134268.7969728699</v>
      </c>
      <c r="E74" s="93">
        <f t="shared" si="91"/>
        <v>-114590.7991453642</v>
      </c>
      <c r="F74" s="93">
        <f t="shared" si="91"/>
        <v>-25004.172025978798</v>
      </c>
      <c r="G74" s="93">
        <f t="shared" si="91"/>
        <v>-36690.536113021022</v>
      </c>
      <c r="H74" s="93">
        <f t="shared" si="91"/>
        <v>51641.773489781306</v>
      </c>
      <c r="I74" s="109">
        <f t="shared" si="91"/>
        <v>16968.956239569263</v>
      </c>
      <c r="J74" s="93">
        <f t="shared" ref="J74:O74" si="92">J65-J72</f>
        <v>0</v>
      </c>
      <c r="K74" s="93">
        <f t="shared" si="92"/>
        <v>0</v>
      </c>
      <c r="L74" s="93">
        <f t="shared" si="92"/>
        <v>0</v>
      </c>
      <c r="M74" s="93">
        <f t="shared" si="92"/>
        <v>0</v>
      </c>
      <c r="N74" s="93">
        <f t="shared" si="92"/>
        <v>0</v>
      </c>
      <c r="O74" s="93">
        <f t="shared" si="92"/>
        <v>0</v>
      </c>
      <c r="P74" s="44">
        <f>SUM(D74:F74)</f>
        <v>-273863.7681442129</v>
      </c>
      <c r="Q74" s="44">
        <f>SUM(G74:I74)</f>
        <v>31920.193616329547</v>
      </c>
      <c r="R74" s="44">
        <f>SUM(J74:L74)</f>
        <v>0</v>
      </c>
      <c r="S74" s="44">
        <f>SUM(M74:O74)</f>
        <v>0</v>
      </c>
      <c r="T74" s="44">
        <f>SUM(D74:O74)</f>
        <v>-241943.57452788335</v>
      </c>
    </row>
    <row r="75" spans="1:20" hidden="1">
      <c r="A75" s="42">
        <v>19</v>
      </c>
      <c r="B75" s="17"/>
      <c r="C75" s="42"/>
      <c r="D75" s="93"/>
      <c r="E75" s="93"/>
      <c r="F75" s="93"/>
      <c r="G75" s="93"/>
      <c r="H75" s="93"/>
      <c r="I75" s="109"/>
      <c r="J75" s="93"/>
      <c r="K75" s="93"/>
      <c r="L75" s="93"/>
      <c r="M75" s="93"/>
      <c r="N75" s="93"/>
      <c r="O75" s="93"/>
      <c r="P75" s="45"/>
      <c r="Q75" s="45"/>
      <c r="R75" s="45"/>
      <c r="S75" s="45"/>
      <c r="T75" s="45"/>
    </row>
    <row r="76" spans="1:20" ht="14.45" customHeight="1">
      <c r="A76" s="42">
        <v>20</v>
      </c>
      <c r="B76" s="17"/>
      <c r="C76" s="42"/>
      <c r="D76" s="93"/>
      <c r="E76" s="93"/>
      <c r="F76" s="93"/>
      <c r="G76" s="93"/>
      <c r="H76" s="93"/>
      <c r="I76" s="109"/>
      <c r="J76" s="93"/>
      <c r="K76" s="93"/>
      <c r="L76" s="93"/>
      <c r="M76" s="93"/>
      <c r="N76" s="93"/>
      <c r="O76" s="93"/>
      <c r="P76" s="45"/>
      <c r="Q76" s="45"/>
      <c r="R76" s="45"/>
      <c r="S76" s="45"/>
      <c r="T76" s="45"/>
    </row>
    <row r="77" spans="1:20" ht="10.5" customHeight="1">
      <c r="A77" s="42">
        <v>21</v>
      </c>
      <c r="B77" s="86" t="str">
        <f t="shared" ref="B77:C91" si="93">B31</f>
        <v>New Customers</v>
      </c>
      <c r="C77" s="42"/>
      <c r="D77" s="93"/>
      <c r="E77" s="93"/>
      <c r="F77" s="93"/>
      <c r="G77" s="93"/>
      <c r="H77" s="93"/>
      <c r="I77" s="109"/>
      <c r="J77" s="93"/>
      <c r="K77" s="93"/>
      <c r="L77" s="93"/>
      <c r="M77" s="93"/>
      <c r="N77" s="93"/>
      <c r="O77" s="93"/>
      <c r="P77" s="45"/>
      <c r="Q77" s="45"/>
      <c r="R77" s="45"/>
      <c r="S77" s="45"/>
      <c r="T77" s="45"/>
    </row>
    <row r="78" spans="1:20">
      <c r="A78" s="42">
        <v>22</v>
      </c>
      <c r="B78" s="17" t="str">
        <f t="shared" si="93"/>
        <v>Actual Customers New Since Test Year</v>
      </c>
      <c r="C78" s="42" t="str">
        <f t="shared" si="72"/>
        <v>Revenue Reports</v>
      </c>
      <c r="D78" s="121">
        <v>30</v>
      </c>
      <c r="E78" s="121">
        <v>30</v>
      </c>
      <c r="F78" s="121">
        <v>33</v>
      </c>
      <c r="G78" s="121">
        <v>32</v>
      </c>
      <c r="H78" s="121">
        <v>34</v>
      </c>
      <c r="I78" s="198">
        <v>35</v>
      </c>
      <c r="J78" s="121"/>
      <c r="K78" s="121"/>
      <c r="L78" s="121"/>
      <c r="M78" s="121"/>
      <c r="N78" s="121"/>
      <c r="O78" s="121"/>
      <c r="P78" s="43">
        <f>SUM(D78:F78)</f>
        <v>93</v>
      </c>
      <c r="Q78" s="43">
        <f>SUM(G78:I78)</f>
        <v>101</v>
      </c>
      <c r="R78" s="43">
        <f>SUM(J78:L78)</f>
        <v>0</v>
      </c>
      <c r="S78" s="43">
        <f>SUM(M78:O78)</f>
        <v>0</v>
      </c>
      <c r="T78" s="43">
        <f>SUM(D78:O78)</f>
        <v>194</v>
      </c>
    </row>
    <row r="79" spans="1:20">
      <c r="A79" s="42">
        <v>23</v>
      </c>
      <c r="B79" s="17" t="str">
        <f t="shared" si="93"/>
        <v>Monthly Fixed Cost Adj. Revenue per Customer</v>
      </c>
      <c r="C79" s="42" t="str">
        <f t="shared" si="72"/>
        <v>Page 3</v>
      </c>
      <c r="D79" s="91">
        <v>385.27828515393969</v>
      </c>
      <c r="E79" s="91">
        <v>353.95683972494766</v>
      </c>
      <c r="F79" s="91">
        <v>305.48267796743409</v>
      </c>
      <c r="G79" s="91">
        <v>220.85966908635282</v>
      </c>
      <c r="H79" s="91">
        <v>177.24685316279178</v>
      </c>
      <c r="I79" s="179">
        <v>136.44535861796732</v>
      </c>
      <c r="J79" s="91">
        <v>138.71808246998273</v>
      </c>
      <c r="K79" s="91">
        <v>170.56667217629797</v>
      </c>
      <c r="L79" s="91">
        <v>131.67267532560601</v>
      </c>
      <c r="M79" s="91">
        <v>225.5622688664788</v>
      </c>
      <c r="N79" s="91">
        <v>343.77040560607225</v>
      </c>
      <c r="O79" s="91">
        <v>388.89021184212896</v>
      </c>
      <c r="P79" s="82">
        <f>P80/P78</f>
        <v>346.86002278808542</v>
      </c>
      <c r="Q79" s="82">
        <f>Q80/Q78</f>
        <v>176.92564326660462</v>
      </c>
      <c r="R79" s="82" t="e">
        <f>R80/R78</f>
        <v>#DIV/0!</v>
      </c>
      <c r="S79" s="82" t="e">
        <f>S80/S78</f>
        <v>#DIV/0!</v>
      </c>
      <c r="T79" s="82">
        <f>T80/T78</f>
        <v>258.3890313877269</v>
      </c>
    </row>
    <row r="80" spans="1:20">
      <c r="A80" s="42">
        <v>24</v>
      </c>
      <c r="B80" s="17" t="str">
        <f t="shared" si="93"/>
        <v>Fixed Cost Adjustment Revenue</v>
      </c>
      <c r="C80" s="42" t="str">
        <f t="shared" si="93"/>
        <v>(22) x (23)</v>
      </c>
      <c r="D80" s="93">
        <f t="shared" ref="D80:I80" si="94">D78*D79</f>
        <v>11558.348554618191</v>
      </c>
      <c r="E80" s="93">
        <f t="shared" si="94"/>
        <v>10618.70519174843</v>
      </c>
      <c r="F80" s="93">
        <f t="shared" si="94"/>
        <v>10080.928372925326</v>
      </c>
      <c r="G80" s="93">
        <f t="shared" si="94"/>
        <v>7067.5094107632904</v>
      </c>
      <c r="H80" s="93">
        <f t="shared" si="94"/>
        <v>6026.3930075349208</v>
      </c>
      <c r="I80" s="109">
        <f t="shared" si="94"/>
        <v>4775.5875516288561</v>
      </c>
      <c r="J80" s="93">
        <f t="shared" ref="J80:O80" si="95">J78*J79</f>
        <v>0</v>
      </c>
      <c r="K80" s="93">
        <f t="shared" si="95"/>
        <v>0</v>
      </c>
      <c r="L80" s="93">
        <f t="shared" si="95"/>
        <v>0</v>
      </c>
      <c r="M80" s="93">
        <f t="shared" si="95"/>
        <v>0</v>
      </c>
      <c r="N80" s="93">
        <f t="shared" si="95"/>
        <v>0</v>
      </c>
      <c r="O80" s="93">
        <f t="shared" si="95"/>
        <v>0</v>
      </c>
      <c r="P80" s="44">
        <f>SUM(D80:F80)</f>
        <v>32257.982119291944</v>
      </c>
      <c r="Q80" s="44">
        <f>SUM(G80:I80)</f>
        <v>17869.489969927068</v>
      </c>
      <c r="R80" s="44">
        <f>SUM(J80:L80)</f>
        <v>0</v>
      </c>
      <c r="S80" s="44">
        <f>SUM(M80:O80)</f>
        <v>0</v>
      </c>
      <c r="T80" s="44">
        <f>SUM(D80:O80)</f>
        <v>50127.472089219016</v>
      </c>
    </row>
    <row r="81" spans="1:28" ht="6" customHeight="1">
      <c r="A81" s="42">
        <v>25</v>
      </c>
      <c r="B81" s="17"/>
      <c r="C81" s="42"/>
      <c r="D81" s="94"/>
      <c r="E81" s="94"/>
      <c r="F81" s="94"/>
      <c r="G81" s="94"/>
      <c r="H81" s="94"/>
      <c r="I81" s="176"/>
      <c r="J81" s="94"/>
      <c r="K81" s="94"/>
      <c r="L81" s="94"/>
      <c r="M81" s="94"/>
      <c r="N81" s="94"/>
      <c r="O81" s="94"/>
      <c r="P81" s="44"/>
      <c r="Q81" s="44"/>
      <c r="R81" s="44"/>
      <c r="S81" s="44"/>
      <c r="T81" s="44"/>
    </row>
    <row r="82" spans="1:28">
      <c r="A82" s="42">
        <v>26</v>
      </c>
      <c r="B82" s="17" t="str">
        <f t="shared" ref="B82:B84" si="96">B36</f>
        <v>Actual Base Rate Revenue</v>
      </c>
      <c r="C82" s="42" t="str">
        <f t="shared" si="93"/>
        <v>Revenue Reports</v>
      </c>
      <c r="D82" s="122">
        <v>19044.48</v>
      </c>
      <c r="E82" s="122">
        <v>22406.560000000001</v>
      </c>
      <c r="F82" s="122">
        <v>28113.149999999998</v>
      </c>
      <c r="G82" s="122">
        <v>17238.910000000003</v>
      </c>
      <c r="H82" s="122">
        <v>13842.019999999999</v>
      </c>
      <c r="I82" s="199">
        <v>11313.51</v>
      </c>
      <c r="J82" s="122"/>
      <c r="K82" s="122"/>
      <c r="L82" s="122"/>
      <c r="M82" s="122"/>
      <c r="N82" s="122"/>
      <c r="O82" s="122"/>
      <c r="P82" s="44">
        <f t="shared" ref="P82:P84" si="97">SUM(D82:F82)</f>
        <v>69564.19</v>
      </c>
      <c r="Q82" s="44">
        <f t="shared" ref="Q82:Q84" si="98">SUM(G82:I82)</f>
        <v>42394.44</v>
      </c>
      <c r="R82" s="44">
        <f t="shared" ref="R82:R84" si="99">SUM(J82:L82)</f>
        <v>0</v>
      </c>
      <c r="S82" s="44">
        <f t="shared" ref="S82:S84" si="100">SUM(M82:O82)</f>
        <v>0</v>
      </c>
      <c r="T82" s="44">
        <f t="shared" ref="T82:T84" si="101">SUM(D82:O82)</f>
        <v>111958.63</v>
      </c>
    </row>
    <row r="83" spans="1:28">
      <c r="A83" s="42">
        <v>27</v>
      </c>
      <c r="B83" s="17" t="str">
        <f t="shared" si="96"/>
        <v>Actual Fixed Charge Revenue</v>
      </c>
      <c r="C83" s="42" t="str">
        <f t="shared" si="93"/>
        <v>Revenue Reports</v>
      </c>
      <c r="D83" s="122">
        <v>3011.72</v>
      </c>
      <c r="E83" s="122">
        <v>3185.4300000000003</v>
      </c>
      <c r="F83" s="122">
        <v>6203.41</v>
      </c>
      <c r="G83" s="122">
        <v>3936.63</v>
      </c>
      <c r="H83" s="122">
        <v>4326.47</v>
      </c>
      <c r="I83" s="199">
        <v>4529.43</v>
      </c>
      <c r="J83" s="122"/>
      <c r="K83" s="122"/>
      <c r="L83" s="122"/>
      <c r="M83" s="122"/>
      <c r="N83" s="122"/>
      <c r="O83" s="122"/>
      <c r="P83" s="44">
        <f t="shared" si="97"/>
        <v>12400.56</v>
      </c>
      <c r="Q83" s="44">
        <f t="shared" si="98"/>
        <v>12792.53</v>
      </c>
      <c r="R83" s="44">
        <f t="shared" si="99"/>
        <v>0</v>
      </c>
      <c r="S83" s="44">
        <f t="shared" si="100"/>
        <v>0</v>
      </c>
      <c r="T83" s="44">
        <f t="shared" si="101"/>
        <v>25193.09</v>
      </c>
    </row>
    <row r="84" spans="1:28">
      <c r="A84" s="42">
        <v>28</v>
      </c>
      <c r="B84" s="17" t="str">
        <f t="shared" si="96"/>
        <v>Actual Usage (Therms)</v>
      </c>
      <c r="C84" s="42" t="str">
        <f t="shared" si="93"/>
        <v>Revenue Reports</v>
      </c>
      <c r="D84" s="121">
        <v>72495.463000000003</v>
      </c>
      <c r="E84" s="121">
        <v>87532.502999999997</v>
      </c>
      <c r="F84" s="121">
        <v>107496.29</v>
      </c>
      <c r="G84" s="121">
        <v>62301.009999999995</v>
      </c>
      <c r="H84" s="121">
        <v>47884.671999999999</v>
      </c>
      <c r="I84" s="198">
        <v>36901.659</v>
      </c>
      <c r="J84" s="121"/>
      <c r="K84" s="121"/>
      <c r="L84" s="121"/>
      <c r="M84" s="121"/>
      <c r="N84" s="121"/>
      <c r="O84" s="121"/>
      <c r="P84" s="160">
        <f t="shared" si="97"/>
        <v>267524.25599999999</v>
      </c>
      <c r="Q84" s="160">
        <f t="shared" si="98"/>
        <v>147087.34100000001</v>
      </c>
      <c r="R84" s="160">
        <f t="shared" si="99"/>
        <v>0</v>
      </c>
      <c r="S84" s="160">
        <f t="shared" si="100"/>
        <v>0</v>
      </c>
      <c r="T84" s="160">
        <f t="shared" si="101"/>
        <v>414611.59700000001</v>
      </c>
    </row>
    <row r="85" spans="1:28" hidden="1">
      <c r="A85" s="42">
        <v>29</v>
      </c>
      <c r="B85" s="17"/>
      <c r="C85" s="42"/>
      <c r="D85" s="95"/>
      <c r="E85" s="95"/>
      <c r="F85" s="95"/>
      <c r="G85" s="95"/>
      <c r="H85" s="95"/>
      <c r="I85" s="177"/>
      <c r="J85" s="95"/>
      <c r="K85" s="95"/>
      <c r="L85" s="95"/>
      <c r="M85" s="95"/>
      <c r="N85" s="95"/>
      <c r="O85" s="95"/>
      <c r="P85" s="45"/>
      <c r="Q85" s="45"/>
      <c r="R85" s="45"/>
      <c r="S85" s="45"/>
      <c r="T85" s="45"/>
    </row>
    <row r="86" spans="1:28" ht="6.6" customHeight="1">
      <c r="A86" s="42">
        <v>30</v>
      </c>
      <c r="B86" s="17"/>
      <c r="C86" s="42"/>
      <c r="D86" s="93"/>
      <c r="E86" s="93"/>
      <c r="F86" s="93"/>
      <c r="G86" s="93"/>
      <c r="H86" s="93"/>
      <c r="I86" s="109"/>
      <c r="J86" s="93"/>
      <c r="K86" s="93"/>
      <c r="L86" s="93"/>
      <c r="M86" s="93"/>
      <c r="N86" s="93"/>
      <c r="O86" s="93"/>
      <c r="P86" s="45"/>
      <c r="Q86" s="45"/>
      <c r="R86" s="45"/>
      <c r="S86" s="45"/>
      <c r="T86" s="45"/>
    </row>
    <row r="87" spans="1:28">
      <c r="A87" s="42">
        <v>31</v>
      </c>
      <c r="B87" s="17" t="str">
        <f t="shared" ref="B87:B89" si="102">B41</f>
        <v>Fixed Production and UG Storage Rate per Therm</v>
      </c>
      <c r="C87" s="42" t="s">
        <v>99</v>
      </c>
      <c r="D87" s="95">
        <v>2.7813999999999998E-2</v>
      </c>
      <c r="E87" s="95">
        <v>2.7813999999999998E-2</v>
      </c>
      <c r="F87" s="95">
        <v>2.7813999999999998E-2</v>
      </c>
      <c r="G87" s="95">
        <v>2.7813999999999998E-2</v>
      </c>
      <c r="H87" s="95">
        <v>2.7813999999999998E-2</v>
      </c>
      <c r="I87" s="177">
        <v>2.7813999999999998E-2</v>
      </c>
      <c r="J87" s="95">
        <v>2.7813999999999998E-2</v>
      </c>
      <c r="K87" s="95">
        <v>2.7813999999999998E-2</v>
      </c>
      <c r="L87" s="95">
        <v>2.7813999999999998E-2</v>
      </c>
      <c r="M87" s="95">
        <v>2.7813999999999998E-2</v>
      </c>
      <c r="N87" s="95">
        <v>2.7813999999999998E-2</v>
      </c>
      <c r="O87" s="95">
        <v>2.7813999999999998E-2</v>
      </c>
      <c r="P87" s="45"/>
      <c r="Q87" s="45"/>
      <c r="R87" s="45"/>
      <c r="S87" s="45"/>
      <c r="T87" s="45"/>
    </row>
    <row r="88" spans="1:28">
      <c r="A88" s="42">
        <v>32</v>
      </c>
      <c r="B88" s="17" t="str">
        <f t="shared" si="102"/>
        <v>Fixed Production and UG Storage Revenue</v>
      </c>
      <c r="C88" s="42" t="str">
        <f t="shared" si="93"/>
        <v>(30) x (31)</v>
      </c>
      <c r="D88" s="93">
        <f t="shared" ref="D88:I88" si="103">D84*D87</f>
        <v>2016.388807882</v>
      </c>
      <c r="E88" s="93">
        <f t="shared" si="103"/>
        <v>2434.6290384419999</v>
      </c>
      <c r="F88" s="93">
        <f t="shared" si="103"/>
        <v>2989.9018100599997</v>
      </c>
      <c r="G88" s="93">
        <f t="shared" si="103"/>
        <v>1732.8402921399997</v>
      </c>
      <c r="H88" s="93">
        <f t="shared" si="103"/>
        <v>1331.8642670079998</v>
      </c>
      <c r="I88" s="109">
        <f t="shared" si="103"/>
        <v>1026.3827434259999</v>
      </c>
      <c r="J88" s="93">
        <f t="shared" ref="J88:O88" si="104">J84*J87</f>
        <v>0</v>
      </c>
      <c r="K88" s="93">
        <f t="shared" si="104"/>
        <v>0</v>
      </c>
      <c r="L88" s="93">
        <f t="shared" si="104"/>
        <v>0</v>
      </c>
      <c r="M88" s="93">
        <f t="shared" si="104"/>
        <v>0</v>
      </c>
      <c r="N88" s="93">
        <f t="shared" si="104"/>
        <v>0</v>
      </c>
      <c r="O88" s="93">
        <f t="shared" si="104"/>
        <v>0</v>
      </c>
      <c r="P88" s="45"/>
      <c r="Q88" s="45"/>
      <c r="R88" s="45"/>
      <c r="S88" s="45"/>
      <c r="T88" s="45"/>
    </row>
    <row r="89" spans="1:28">
      <c r="A89" s="42">
        <v>33</v>
      </c>
      <c r="B89" s="17" t="str">
        <f t="shared" si="102"/>
        <v>Customer Fixed Cost Adjustment Revenue</v>
      </c>
      <c r="C89" s="42" t="str">
        <f t="shared" si="93"/>
        <v>(26) - (27) - (30) - (32)</v>
      </c>
      <c r="D89" s="93">
        <f t="shared" ref="D89:I89" si="105">D82-D83-D86-D88</f>
        <v>14016.371192118</v>
      </c>
      <c r="E89" s="93">
        <f t="shared" si="105"/>
        <v>16786.500961558002</v>
      </c>
      <c r="F89" s="93">
        <f t="shared" si="105"/>
        <v>18919.838189939997</v>
      </c>
      <c r="G89" s="93">
        <f t="shared" si="105"/>
        <v>11569.439707860003</v>
      </c>
      <c r="H89" s="93">
        <f t="shared" si="105"/>
        <v>8183.6857329919994</v>
      </c>
      <c r="I89" s="109">
        <f t="shared" si="105"/>
        <v>5757.6972565739998</v>
      </c>
      <c r="J89" s="93">
        <f t="shared" ref="J89:O89" si="106">J82-J83-J86-J88</f>
        <v>0</v>
      </c>
      <c r="K89" s="93">
        <f t="shared" si="106"/>
        <v>0</v>
      </c>
      <c r="L89" s="93">
        <f t="shared" si="106"/>
        <v>0</v>
      </c>
      <c r="M89" s="93">
        <f t="shared" si="106"/>
        <v>0</v>
      </c>
      <c r="N89" s="93">
        <f t="shared" si="106"/>
        <v>0</v>
      </c>
      <c r="O89" s="93">
        <f t="shared" si="106"/>
        <v>0</v>
      </c>
      <c r="P89" s="44">
        <f>SUM(D89:F89)</f>
        <v>49722.710343615996</v>
      </c>
      <c r="Q89" s="44">
        <f>SUM(G89:I89)</f>
        <v>25510.822697426003</v>
      </c>
      <c r="R89" s="44">
        <f>SUM(J89:L89)</f>
        <v>0</v>
      </c>
      <c r="S89" s="44">
        <f>SUM(M89:O89)</f>
        <v>0</v>
      </c>
      <c r="T89" s="44">
        <f>SUM(D89:O89)</f>
        <v>75233.533041041999</v>
      </c>
    </row>
    <row r="90" spans="1:28">
      <c r="A90" s="42">
        <v>34</v>
      </c>
      <c r="B90" s="3" t="s">
        <v>27</v>
      </c>
      <c r="C90" s="42"/>
      <c r="D90" s="96">
        <f t="shared" ref="D90:I90" si="107">D89/D78</f>
        <v>467.21237307059999</v>
      </c>
      <c r="E90" s="96">
        <f t="shared" si="107"/>
        <v>559.55003205193339</v>
      </c>
      <c r="F90" s="96">
        <f t="shared" si="107"/>
        <v>573.32842999818172</v>
      </c>
      <c r="G90" s="96">
        <f t="shared" si="107"/>
        <v>361.5449908706251</v>
      </c>
      <c r="H90" s="96">
        <f t="shared" si="107"/>
        <v>240.69663920564705</v>
      </c>
      <c r="I90" s="178">
        <f t="shared" si="107"/>
        <v>164.50563590211428</v>
      </c>
      <c r="J90" s="96" t="e">
        <f t="shared" ref="J90:O90" si="108">J89/J78</f>
        <v>#DIV/0!</v>
      </c>
      <c r="K90" s="96" t="e">
        <f t="shared" si="108"/>
        <v>#DIV/0!</v>
      </c>
      <c r="L90" s="96" t="e">
        <f t="shared" si="108"/>
        <v>#DIV/0!</v>
      </c>
      <c r="M90" s="96" t="e">
        <f t="shared" si="108"/>
        <v>#DIV/0!</v>
      </c>
      <c r="N90" s="96" t="e">
        <f t="shared" si="108"/>
        <v>#DIV/0!</v>
      </c>
      <c r="O90" s="96" t="e">
        <f t="shared" si="108"/>
        <v>#DIV/0!</v>
      </c>
      <c r="P90" s="82">
        <f>P89/P78</f>
        <v>534.65279939372044</v>
      </c>
      <c r="Q90" s="82">
        <f t="shared" ref="Q90:S90" si="109">Q89/Q78</f>
        <v>252.58240294481192</v>
      </c>
      <c r="R90" s="82" t="e">
        <f t="shared" si="109"/>
        <v>#DIV/0!</v>
      </c>
      <c r="S90" s="82" t="e">
        <f t="shared" si="109"/>
        <v>#DIV/0!</v>
      </c>
      <c r="T90" s="82">
        <f t="shared" ref="T90" si="110">T89/T78</f>
        <v>387.80171670640203</v>
      </c>
    </row>
    <row r="91" spans="1:28">
      <c r="A91" s="42">
        <v>35</v>
      </c>
      <c r="B91" s="17" t="str">
        <f t="shared" ref="B91" si="111">B45</f>
        <v>New Customer Deferral - Surcharge (Rebate)</v>
      </c>
      <c r="C91" s="42" t="str">
        <f t="shared" si="93"/>
        <v>(9) - (33)</v>
      </c>
      <c r="D91" s="93">
        <f t="shared" ref="D91:I91" si="112">D80-D89</f>
        <v>-2458.0226374998092</v>
      </c>
      <c r="E91" s="93">
        <f t="shared" si="112"/>
        <v>-6167.7957698095724</v>
      </c>
      <c r="F91" s="93">
        <f t="shared" si="112"/>
        <v>-8838.9098170146717</v>
      </c>
      <c r="G91" s="93">
        <f t="shared" si="112"/>
        <v>-4501.9302970967128</v>
      </c>
      <c r="H91" s="93">
        <f t="shared" si="112"/>
        <v>-2157.2927254570786</v>
      </c>
      <c r="I91" s="109">
        <f t="shared" si="112"/>
        <v>-982.10970494514368</v>
      </c>
      <c r="J91" s="93">
        <f t="shared" ref="J91:O91" si="113">J80-J89</f>
        <v>0</v>
      </c>
      <c r="K91" s="93">
        <f t="shared" si="113"/>
        <v>0</v>
      </c>
      <c r="L91" s="93">
        <f t="shared" si="113"/>
        <v>0</v>
      </c>
      <c r="M91" s="93">
        <f t="shared" si="113"/>
        <v>0</v>
      </c>
      <c r="N91" s="93">
        <f t="shared" si="113"/>
        <v>0</v>
      </c>
      <c r="O91" s="93">
        <f t="shared" si="113"/>
        <v>0</v>
      </c>
      <c r="P91" s="44">
        <f>SUM(D91:F91)</f>
        <v>-17464.728224324055</v>
      </c>
      <c r="Q91" s="44">
        <f>SUM(G91:I91)</f>
        <v>-7641.3327274989351</v>
      </c>
      <c r="R91" s="44">
        <f>SUM(J91:L91)</f>
        <v>0</v>
      </c>
      <c r="S91" s="44">
        <f>SUM(M91:O91)</f>
        <v>0</v>
      </c>
      <c r="T91" s="44">
        <f>SUM(D91:O91)</f>
        <v>-25106.06095182299</v>
      </c>
    </row>
    <row r="92" spans="1:28" ht="6" customHeight="1">
      <c r="A92" s="42">
        <v>36</v>
      </c>
      <c r="B92" s="17"/>
      <c r="C92" s="42"/>
      <c r="D92" s="93"/>
      <c r="E92" s="93"/>
      <c r="F92" s="93"/>
      <c r="G92" s="93"/>
      <c r="H92" s="93"/>
      <c r="I92" s="109"/>
      <c r="J92" s="93"/>
      <c r="K92" s="93"/>
      <c r="L92" s="93"/>
      <c r="M92" s="93"/>
      <c r="N92" s="93"/>
      <c r="O92" s="93"/>
      <c r="P92" s="45"/>
      <c r="Q92" s="45"/>
      <c r="R92" s="45"/>
      <c r="S92" s="45"/>
      <c r="T92" s="45"/>
    </row>
    <row r="93" spans="1:28">
      <c r="A93" s="98">
        <v>37</v>
      </c>
      <c r="B93" s="99" t="s">
        <v>100</v>
      </c>
      <c r="C93" s="98" t="str">
        <f t="shared" ref="C93:C96" si="114">C47</f>
        <v>(18) + (35)</v>
      </c>
      <c r="D93" s="100">
        <f t="shared" ref="D93:I93" si="115">D74+D91</f>
        <v>-136726.81961036971</v>
      </c>
      <c r="E93" s="100">
        <f t="shared" si="115"/>
        <v>-120758.59491517377</v>
      </c>
      <c r="F93" s="100">
        <f t="shared" si="115"/>
        <v>-33843.081842993473</v>
      </c>
      <c r="G93" s="100">
        <f t="shared" si="115"/>
        <v>-41192.466410117733</v>
      </c>
      <c r="H93" s="100">
        <f t="shared" si="115"/>
        <v>49484.480764324224</v>
      </c>
      <c r="I93" s="180">
        <f t="shared" si="115"/>
        <v>15986.846534624119</v>
      </c>
      <c r="J93" s="100">
        <f t="shared" ref="J93:O93" si="116">J74+J91</f>
        <v>0</v>
      </c>
      <c r="K93" s="100">
        <f t="shared" si="116"/>
        <v>0</v>
      </c>
      <c r="L93" s="100">
        <f t="shared" si="116"/>
        <v>0</v>
      </c>
      <c r="M93" s="100">
        <f t="shared" si="116"/>
        <v>0</v>
      </c>
      <c r="N93" s="100">
        <f t="shared" si="116"/>
        <v>0</v>
      </c>
      <c r="O93" s="100">
        <f t="shared" si="116"/>
        <v>0</v>
      </c>
      <c r="P93" s="100">
        <f>SUM(D93:F93)</f>
        <v>-291328.49636853696</v>
      </c>
      <c r="Q93" s="100">
        <f>SUM(G93:I93)</f>
        <v>24278.860888830612</v>
      </c>
      <c r="R93" s="100">
        <f>SUM(J93:L93)</f>
        <v>0</v>
      </c>
      <c r="S93" s="100">
        <f>SUM(M93:O93)</f>
        <v>0</v>
      </c>
      <c r="T93" s="100">
        <f>SUM(D93:O93)</f>
        <v>-267049.63547970634</v>
      </c>
      <c r="V93" s="131">
        <f>J93+J94</f>
        <v>0</v>
      </c>
      <c r="W93" s="131">
        <f>K93+K94</f>
        <v>0</v>
      </c>
      <c r="X93" s="131">
        <f t="shared" ref="X93" si="117">L93+L94</f>
        <v>0</v>
      </c>
      <c r="Y93" s="131"/>
      <c r="Z93" s="131"/>
      <c r="AA93" s="131"/>
      <c r="AB93" s="131"/>
    </row>
    <row r="94" spans="1:28">
      <c r="A94" s="98">
        <v>38</v>
      </c>
      <c r="B94" s="99" t="str">
        <f t="shared" ref="B94" si="118">B48</f>
        <v>Deferral - Revenue Related Expenses</v>
      </c>
      <c r="C94" s="98" t="str">
        <f t="shared" si="114"/>
        <v>Rev Conv Factor</v>
      </c>
      <c r="D94" s="100">
        <f>D93*-0.005839</f>
        <v>798.34789970494865</v>
      </c>
      <c r="E94" s="100">
        <f t="shared" ref="E94:O94" si="119">E93*-0.005839</f>
        <v>705.1094357096996</v>
      </c>
      <c r="F94" s="100">
        <f t="shared" si="119"/>
        <v>197.60975488123887</v>
      </c>
      <c r="G94" s="100">
        <f t="shared" si="119"/>
        <v>240.52281136867742</v>
      </c>
      <c r="H94" s="100">
        <f t="shared" si="119"/>
        <v>-288.9398831828891</v>
      </c>
      <c r="I94" s="100">
        <f t="shared" si="119"/>
        <v>-93.347196915670224</v>
      </c>
      <c r="J94" s="100">
        <f t="shared" si="119"/>
        <v>0</v>
      </c>
      <c r="K94" s="100">
        <f t="shared" si="119"/>
        <v>0</v>
      </c>
      <c r="L94" s="100">
        <f t="shared" si="119"/>
        <v>0</v>
      </c>
      <c r="M94" s="100">
        <f t="shared" si="119"/>
        <v>0</v>
      </c>
      <c r="N94" s="100">
        <f t="shared" si="119"/>
        <v>0</v>
      </c>
      <c r="O94" s="100">
        <f t="shared" si="119"/>
        <v>0</v>
      </c>
      <c r="P94" s="100">
        <f>SUM(D94:F94)</f>
        <v>1701.0670902958871</v>
      </c>
      <c r="Q94" s="100">
        <f>SUM(G94:I94)</f>
        <v>-141.76426872988191</v>
      </c>
      <c r="R94" s="100">
        <f>SUM(J94:L94)</f>
        <v>0</v>
      </c>
      <c r="S94" s="100">
        <f>SUM(M94:O94)</f>
        <v>0</v>
      </c>
      <c r="T94" s="100">
        <f>SUM(D94:O94)</f>
        <v>1559.3028215660052</v>
      </c>
    </row>
    <row r="95" spans="1:28">
      <c r="A95" s="42">
        <v>39</v>
      </c>
      <c r="B95" s="17"/>
      <c r="C95" s="3" t="str">
        <f t="shared" si="114"/>
        <v>Customer Deposit Rate</v>
      </c>
      <c r="D95" s="103">
        <f>D49</f>
        <v>0.02</v>
      </c>
      <c r="E95" s="103">
        <f t="shared" ref="E95:O95" si="120">E49</f>
        <v>0.02</v>
      </c>
      <c r="F95" s="103">
        <f t="shared" si="120"/>
        <v>0.02</v>
      </c>
      <c r="G95" s="103">
        <f t="shared" si="120"/>
        <v>0.02</v>
      </c>
      <c r="H95" s="103">
        <f t="shared" si="120"/>
        <v>0.02</v>
      </c>
      <c r="I95" s="103">
        <f t="shared" si="120"/>
        <v>0.02</v>
      </c>
      <c r="J95" s="103">
        <f t="shared" si="120"/>
        <v>0</v>
      </c>
      <c r="K95" s="103">
        <f t="shared" si="120"/>
        <v>0</v>
      </c>
      <c r="L95" s="103">
        <f t="shared" si="120"/>
        <v>0</v>
      </c>
      <c r="M95" s="103">
        <f t="shared" si="120"/>
        <v>0</v>
      </c>
      <c r="N95" s="103">
        <f t="shared" si="120"/>
        <v>0</v>
      </c>
      <c r="O95" s="103">
        <f t="shared" si="120"/>
        <v>0</v>
      </c>
      <c r="P95" s="120"/>
      <c r="Q95" s="120"/>
      <c r="R95" s="120"/>
      <c r="S95" s="120"/>
      <c r="T95" s="120"/>
    </row>
    <row r="96" spans="1:28">
      <c r="A96" s="98">
        <v>40</v>
      </c>
      <c r="B96" s="99" t="str">
        <f>B50</f>
        <v>Interest on Deferral</v>
      </c>
      <c r="C96" s="98" t="str">
        <f t="shared" si="114"/>
        <v>Avg Balance Calc</v>
      </c>
      <c r="D96" s="104">
        <f>(D93+D94)/2*D95/12</f>
        <v>-113.27372642555399</v>
      </c>
      <c r="E96" s="104">
        <f t="shared" ref="E96" si="121">(D99+(E93+E94)/2)*E95/12</f>
        <v>-326.78081362803727</v>
      </c>
      <c r="F96" s="104">
        <f t="shared" ref="F96" si="122">(E99+(F93+F94)/2)*F95/12</f>
        <v>-455.4079129570643</v>
      </c>
      <c r="G96" s="104">
        <f t="shared" ref="G96" si="123">(F99+(G93+G94)/2)*G95/12</f>
        <v>-518.33143921771045</v>
      </c>
      <c r="H96" s="104">
        <f t="shared" ref="H96" si="124">(G99+(H93+H94)/2)*H95/12</f>
        <v>-512.32566054774657</v>
      </c>
      <c r="I96" s="182">
        <f t="shared" ref="I96" si="125">(H99+(I93+I94)/2)*I95/12</f>
        <v>-458.93866979961786</v>
      </c>
      <c r="J96" s="104">
        <f t="shared" ref="J96:O96" si="126">(I99+(J93+J94)/2)*J95/12</f>
        <v>0</v>
      </c>
      <c r="K96" s="104">
        <f t="shared" si="126"/>
        <v>0</v>
      </c>
      <c r="L96" s="104">
        <f>(K99+(L93+L94)/2)*L95/12</f>
        <v>0</v>
      </c>
      <c r="M96" s="104">
        <f t="shared" si="126"/>
        <v>0</v>
      </c>
      <c r="N96" s="104">
        <f t="shared" si="126"/>
        <v>0</v>
      </c>
      <c r="O96" s="104">
        <f t="shared" si="126"/>
        <v>0</v>
      </c>
      <c r="P96" s="100">
        <f>SUM(D96:F96)</f>
        <v>-895.46245301065551</v>
      </c>
      <c r="Q96" s="100">
        <f t="shared" ref="Q96" si="127">SUM(G96:I96)</f>
        <v>-1489.595769565075</v>
      </c>
      <c r="R96" s="100">
        <f t="shared" ref="R96" si="128">SUM(J96:L96)</f>
        <v>0</v>
      </c>
      <c r="S96" s="100">
        <f>SUM(M96:O96)</f>
        <v>0</v>
      </c>
      <c r="T96" s="100">
        <f t="shared" ref="T96" si="129">SUM(D96:O96)</f>
        <v>-2385.0582225757307</v>
      </c>
    </row>
    <row r="97" spans="1:20">
      <c r="A97" s="105">
        <v>41</v>
      </c>
      <c r="B97" s="106" t="s">
        <v>29</v>
      </c>
      <c r="C97" s="105"/>
      <c r="D97" s="108">
        <f t="shared" ref="D97:I97" si="130">D93+D94+D96</f>
        <v>-136041.74543709031</v>
      </c>
      <c r="E97" s="108">
        <f t="shared" si="130"/>
        <v>-120380.26629309211</v>
      </c>
      <c r="F97" s="108">
        <f t="shared" si="130"/>
        <v>-34100.880001069301</v>
      </c>
      <c r="G97" s="108">
        <f t="shared" si="130"/>
        <v>-41470.27503796677</v>
      </c>
      <c r="H97" s="108">
        <f t="shared" si="130"/>
        <v>48683.215220593593</v>
      </c>
      <c r="I97" s="193">
        <f t="shared" si="130"/>
        <v>15434.560667908831</v>
      </c>
      <c r="J97" s="108">
        <f t="shared" ref="J97:O97" si="131">J93+J94+J96</f>
        <v>0</v>
      </c>
      <c r="K97" s="108">
        <f t="shared" si="131"/>
        <v>0</v>
      </c>
      <c r="L97" s="108">
        <f t="shared" si="131"/>
        <v>0</v>
      </c>
      <c r="M97" s="108">
        <f t="shared" si="131"/>
        <v>0</v>
      </c>
      <c r="N97" s="108">
        <f t="shared" si="131"/>
        <v>0</v>
      </c>
      <c r="O97" s="108">
        <f t="shared" si="131"/>
        <v>0</v>
      </c>
      <c r="P97" s="108">
        <f>P93+P94+P96</f>
        <v>-290522.89173125173</v>
      </c>
      <c r="Q97" s="108">
        <f t="shared" ref="Q97:T97" si="132">Q93+Q94+Q96</f>
        <v>22647.500850535653</v>
      </c>
      <c r="R97" s="108">
        <f>R93+R94+R96</f>
        <v>0</v>
      </c>
      <c r="S97" s="108">
        <f>S93+S94+S96</f>
        <v>0</v>
      </c>
      <c r="T97" s="108">
        <f t="shared" si="132"/>
        <v>-267875.39088071609</v>
      </c>
    </row>
    <row r="98" spans="1:20">
      <c r="A98" s="42">
        <v>42</v>
      </c>
      <c r="B98" s="17"/>
      <c r="C98" s="42"/>
      <c r="D98" s="94"/>
      <c r="E98" s="94"/>
      <c r="F98" s="94"/>
      <c r="G98" s="94"/>
      <c r="H98" s="94"/>
      <c r="I98" s="176"/>
      <c r="J98" s="94"/>
      <c r="K98" s="94"/>
      <c r="L98" s="94"/>
      <c r="M98" s="94"/>
      <c r="N98" s="94"/>
      <c r="O98" s="94"/>
    </row>
    <row r="99" spans="1:20" ht="25.5">
      <c r="A99" s="90">
        <v>43</v>
      </c>
      <c r="B99" s="83" t="s">
        <v>101</v>
      </c>
      <c r="C99" s="90" t="str">
        <f t="shared" ref="C99" si="133">C53</f>
        <v>Σ((37), (38), (40))</v>
      </c>
      <c r="D99" s="114">
        <f>D96+D94+D93</f>
        <v>-136041.74543709031</v>
      </c>
      <c r="E99" s="114">
        <f t="shared" ref="E99" si="134">D99+E93+E94+E96</f>
        <v>-256422.01173018245</v>
      </c>
      <c r="F99" s="114">
        <f t="shared" ref="F99" si="135">E99+F93+F94+F96</f>
        <v>-290522.89173125179</v>
      </c>
      <c r="G99" s="114">
        <f t="shared" ref="G99" si="136">F99+G93+G94+G96</f>
        <v>-331993.16676921857</v>
      </c>
      <c r="H99" s="114">
        <f t="shared" ref="H99" si="137">G99+H93+H94+H96</f>
        <v>-283309.95154862496</v>
      </c>
      <c r="I99" s="187">
        <f t="shared" ref="I99:N99" si="138">H99+I93+I94+I96</f>
        <v>-267875.39088071609</v>
      </c>
      <c r="J99" s="114">
        <f>I99+J93+J94+J96</f>
        <v>-267875.39088071609</v>
      </c>
      <c r="K99" s="114">
        <f t="shared" si="138"/>
        <v>-267875.39088071609</v>
      </c>
      <c r="L99" s="114">
        <f>K99+L93+L94+L96</f>
        <v>-267875.39088071609</v>
      </c>
      <c r="M99" s="114">
        <f t="shared" si="138"/>
        <v>-267875.39088071609</v>
      </c>
      <c r="N99" s="114">
        <f t="shared" si="138"/>
        <v>-267875.39088071609</v>
      </c>
      <c r="O99" s="114">
        <f>N99+O93+O94+O96</f>
        <v>-267875.39088071609</v>
      </c>
    </row>
    <row r="100" spans="1:20" ht="10.15" customHeight="1">
      <c r="A100" s="42"/>
      <c r="B100" s="17"/>
      <c r="C100" s="90"/>
      <c r="D100" s="114"/>
      <c r="E100" s="114"/>
      <c r="F100" s="114"/>
      <c r="G100" s="114"/>
      <c r="H100" s="114"/>
      <c r="I100" s="187"/>
      <c r="J100" s="114"/>
      <c r="K100" s="114"/>
      <c r="L100" s="114"/>
      <c r="M100" s="114"/>
      <c r="N100" s="114"/>
      <c r="O100" s="114"/>
    </row>
    <row r="101" spans="1:20" ht="26.25">
      <c r="A101" s="90">
        <v>44</v>
      </c>
      <c r="B101" s="115" t="s">
        <v>102</v>
      </c>
      <c r="C101" s="79" t="str">
        <f>"Res line("&amp;A$53&amp;") +Non-Res line ("&amp;A99&amp;")"</f>
        <v>Res line(43) +Non-Res line (43)</v>
      </c>
      <c r="D101" s="116">
        <f t="shared" ref="D101:G101" si="139">D53+D99</f>
        <v>-249290.28914184979</v>
      </c>
      <c r="E101" s="116">
        <f t="shared" si="139"/>
        <v>-1653618.2749121331</v>
      </c>
      <c r="F101" s="116">
        <f t="shared" si="139"/>
        <v>-1757837.2818460688</v>
      </c>
      <c r="G101" s="116">
        <f t="shared" si="139"/>
        <v>-1695535.1920843888</v>
      </c>
      <c r="H101" s="116">
        <f t="shared" ref="H101:O101" si="140">H53+H99</f>
        <v>-1407283.7491322178</v>
      </c>
      <c r="I101" s="194">
        <f>I53+I99</f>
        <v>-1331155.9259431881</v>
      </c>
      <c r="J101" s="116">
        <f t="shared" si="140"/>
        <v>-1331155.9259431881</v>
      </c>
      <c r="K101" s="116">
        <f t="shared" si="140"/>
        <v>-1331155.9259431881</v>
      </c>
      <c r="L101" s="116">
        <f t="shared" si="140"/>
        <v>-1331155.9259431881</v>
      </c>
      <c r="M101" s="116">
        <f t="shared" si="140"/>
        <v>-1331155.9259431881</v>
      </c>
      <c r="N101" s="116">
        <f t="shared" si="140"/>
        <v>-1331155.9259431881</v>
      </c>
      <c r="O101" s="116">
        <f t="shared" si="140"/>
        <v>-1331155.9259431881</v>
      </c>
    </row>
  </sheetData>
  <mergeCells count="1">
    <mergeCell ref="A6:A7"/>
  </mergeCells>
  <printOptions horizontalCentered="1"/>
  <pageMargins left="0.7" right="0.55000000000000004" top="0.81" bottom="0.47" header="0.39" footer="0.3"/>
  <pageSetup scale="66" firstPageNumber="3" fitToHeight="2" orientation="landscape" useFirstPageNumber="1" r:id="rId1"/>
  <headerFooter scaleWithDoc="0">
    <oddHeader>&amp;C&amp;8Avista Corporation Fixed Cost Adjustment Mechanism
Idaho Jurisdiction
Quarterly Report for 2nd Quarter 2019</oddHeader>
    <oddFooter>&amp;C&amp;F / &amp;A&amp;RPage &amp;P of 12</oddFooter>
  </headerFooter>
  <rowBreaks count="1" manualBreakCount="1">
    <brk id="5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01"/>
  <sheetViews>
    <sheetView zoomScaleNormal="100" workbookViewId="0">
      <selection activeCell="A6" sqref="A6"/>
    </sheetView>
  </sheetViews>
  <sheetFormatPr defaultColWidth="8.85546875" defaultRowHeight="15"/>
  <cols>
    <col min="1" max="1" width="5" style="45" customWidth="1"/>
    <col min="2" max="2" width="39" style="45" customWidth="1"/>
    <col min="3" max="3" width="18.42578125" style="45" customWidth="1"/>
    <col min="4" max="4" width="12.28515625" style="45" customWidth="1"/>
    <col min="5" max="5" width="13" style="45" customWidth="1"/>
    <col min="6" max="6" width="12.5703125" style="45" customWidth="1"/>
    <col min="7" max="12" width="8.85546875" style="45" hidden="1" customWidth="1"/>
    <col min="13" max="13" width="7.7109375" style="45" hidden="1" customWidth="1"/>
    <col min="14" max="15" width="9.28515625" style="45" hidden="1" customWidth="1"/>
    <col min="16" max="16" width="12.85546875" style="45" customWidth="1"/>
    <col min="17" max="17" width="12" style="45" hidden="1" customWidth="1"/>
    <col min="18" max="18" width="11.5703125" style="45" hidden="1" customWidth="1"/>
    <col min="19" max="19" width="11.42578125" style="45" hidden="1" customWidth="1"/>
    <col min="20" max="20" width="12.28515625" style="45" hidden="1" customWidth="1"/>
    <col min="21" max="16384" width="8.85546875" style="45"/>
  </cols>
  <sheetData>
    <row r="1" spans="1:20" ht="15.75">
      <c r="A1" s="80" t="s">
        <v>0</v>
      </c>
      <c r="B1" s="80"/>
      <c r="C1" s="80"/>
      <c r="D1" s="80"/>
      <c r="E1" s="80"/>
      <c r="F1" s="80"/>
      <c r="G1" s="80"/>
      <c r="H1" s="80"/>
      <c r="I1" s="80"/>
      <c r="J1" s="80"/>
      <c r="K1" s="80"/>
      <c r="L1" s="80"/>
      <c r="M1" s="80"/>
      <c r="N1" s="80"/>
      <c r="O1" s="80"/>
    </row>
    <row r="2" spans="1:20" ht="15.75">
      <c r="A2" s="80" t="s">
        <v>116</v>
      </c>
      <c r="B2" s="80"/>
      <c r="C2" s="80"/>
      <c r="D2" s="80"/>
      <c r="E2" s="80"/>
      <c r="F2" s="80"/>
      <c r="G2" s="80"/>
      <c r="H2" s="80"/>
      <c r="I2" s="80"/>
      <c r="J2" s="80"/>
      <c r="K2" s="80"/>
      <c r="L2" s="80"/>
      <c r="M2" s="80"/>
      <c r="N2" s="80"/>
      <c r="O2" s="80"/>
    </row>
    <row r="3" spans="1:20" ht="15.75">
      <c r="A3" s="81" t="s">
        <v>126</v>
      </c>
      <c r="B3" s="80"/>
      <c r="C3" s="80"/>
      <c r="D3" s="80"/>
      <c r="E3" s="80"/>
      <c r="F3" s="80"/>
      <c r="G3" s="80"/>
      <c r="H3" s="80"/>
      <c r="I3" s="80"/>
      <c r="J3" s="80"/>
      <c r="K3" s="80"/>
      <c r="L3" s="80"/>
      <c r="M3" s="80"/>
      <c r="N3" s="80"/>
      <c r="O3" s="80"/>
    </row>
    <row r="4" spans="1:20" ht="15.75">
      <c r="A4" s="80" t="s">
        <v>117</v>
      </c>
      <c r="B4" s="80"/>
      <c r="C4" s="80"/>
      <c r="D4" s="80"/>
      <c r="E4" s="80"/>
      <c r="F4" s="80"/>
      <c r="G4" s="80"/>
      <c r="H4" s="80"/>
      <c r="I4" s="80"/>
      <c r="J4" s="80"/>
      <c r="K4" s="80"/>
      <c r="L4" s="80"/>
      <c r="M4" s="80"/>
      <c r="N4" s="80"/>
      <c r="O4" s="80"/>
    </row>
    <row r="5" spans="1:20">
      <c r="A5" s="2" t="s">
        <v>127</v>
      </c>
      <c r="B5" s="66"/>
      <c r="C5" s="66"/>
      <c r="D5" s="84"/>
      <c r="E5" s="84"/>
      <c r="F5" s="84"/>
      <c r="G5" s="84"/>
      <c r="H5" s="84"/>
      <c r="I5" s="84"/>
      <c r="J5" s="84"/>
      <c r="K5" s="84"/>
      <c r="L5" s="84"/>
      <c r="M5" s="84"/>
      <c r="N5" s="84"/>
      <c r="O5" s="84"/>
    </row>
    <row r="6" spans="1:20" ht="28.9" customHeight="1">
      <c r="A6" s="17"/>
      <c r="B6" s="17"/>
      <c r="C6" s="17"/>
      <c r="D6" s="3" t="s">
        <v>73</v>
      </c>
      <c r="E6" s="3" t="s">
        <v>73</v>
      </c>
      <c r="F6" s="3"/>
      <c r="G6" s="3"/>
      <c r="H6" s="3"/>
      <c r="I6" s="3"/>
      <c r="J6" s="3"/>
      <c r="K6" s="3"/>
      <c r="L6" s="3"/>
      <c r="M6" s="3"/>
      <c r="N6" s="3"/>
      <c r="O6" s="3"/>
      <c r="P6" s="41" t="s">
        <v>71</v>
      </c>
      <c r="Q6" s="41" t="s">
        <v>68</v>
      </c>
      <c r="R6" s="41" t="s">
        <v>69</v>
      </c>
      <c r="S6" s="41" t="s">
        <v>70</v>
      </c>
      <c r="T6" s="40" t="s">
        <v>67</v>
      </c>
    </row>
    <row r="7" spans="1:20" ht="25.5">
      <c r="A7" s="67" t="s">
        <v>1</v>
      </c>
      <c r="B7" s="68"/>
      <c r="C7" s="65" t="s">
        <v>2</v>
      </c>
      <c r="D7" s="85">
        <v>42370</v>
      </c>
      <c r="E7" s="85">
        <f t="shared" ref="E7:O7" si="0">EDATE(D7,1)</f>
        <v>42401</v>
      </c>
      <c r="F7" s="85">
        <f t="shared" si="0"/>
        <v>42430</v>
      </c>
      <c r="G7" s="85">
        <f t="shared" si="0"/>
        <v>42461</v>
      </c>
      <c r="H7" s="85">
        <f t="shared" si="0"/>
        <v>42491</v>
      </c>
      <c r="I7" s="85">
        <f t="shared" si="0"/>
        <v>42522</v>
      </c>
      <c r="J7" s="85">
        <f t="shared" si="0"/>
        <v>42552</v>
      </c>
      <c r="K7" s="85">
        <f t="shared" si="0"/>
        <v>42583</v>
      </c>
      <c r="L7" s="85">
        <f t="shared" si="0"/>
        <v>42614</v>
      </c>
      <c r="M7" s="85">
        <f t="shared" si="0"/>
        <v>42644</v>
      </c>
      <c r="N7" s="85">
        <f t="shared" si="0"/>
        <v>42675</v>
      </c>
      <c r="O7" s="85">
        <f t="shared" si="0"/>
        <v>42705</v>
      </c>
      <c r="P7" s="69" t="s">
        <v>3</v>
      </c>
      <c r="Q7" s="14" t="s">
        <v>3</v>
      </c>
      <c r="R7" s="14" t="s">
        <v>3</v>
      </c>
      <c r="S7" s="14" t="s">
        <v>3</v>
      </c>
      <c r="T7" s="14" t="s">
        <v>3</v>
      </c>
    </row>
    <row r="8" spans="1:20">
      <c r="A8" s="42"/>
      <c r="B8" s="42" t="s">
        <v>4</v>
      </c>
      <c r="C8" s="42" t="s">
        <v>5</v>
      </c>
      <c r="D8" s="42" t="s">
        <v>6</v>
      </c>
      <c r="E8" s="42" t="s">
        <v>7</v>
      </c>
      <c r="F8" s="42" t="s">
        <v>8</v>
      </c>
      <c r="G8" s="42" t="s">
        <v>9</v>
      </c>
      <c r="H8" s="42" t="s">
        <v>10</v>
      </c>
      <c r="I8" s="42" t="s">
        <v>11</v>
      </c>
      <c r="J8" s="42" t="s">
        <v>12</v>
      </c>
      <c r="K8" s="42" t="s">
        <v>13</v>
      </c>
      <c r="L8" s="42" t="s">
        <v>14</v>
      </c>
      <c r="M8" s="42" t="s">
        <v>15</v>
      </c>
      <c r="N8" s="42" t="s">
        <v>16</v>
      </c>
      <c r="O8" s="42" t="s">
        <v>17</v>
      </c>
      <c r="P8" s="42" t="s">
        <v>18</v>
      </c>
      <c r="Q8" s="42" t="s">
        <v>122</v>
      </c>
      <c r="R8" s="42" t="s">
        <v>123</v>
      </c>
      <c r="S8" s="42" t="s">
        <v>124</v>
      </c>
      <c r="T8" s="42" t="s">
        <v>125</v>
      </c>
    </row>
    <row r="9" spans="1:20">
      <c r="A9" s="42"/>
      <c r="B9" s="1" t="s">
        <v>19</v>
      </c>
      <c r="C9" s="42"/>
      <c r="D9" s="3"/>
      <c r="E9" s="3"/>
      <c r="F9" s="3"/>
      <c r="G9" s="3"/>
      <c r="H9" s="3"/>
      <c r="I9" s="3"/>
      <c r="J9" s="3"/>
      <c r="K9" s="3"/>
      <c r="L9" s="3"/>
      <c r="M9" s="3"/>
      <c r="N9" s="3"/>
      <c r="O9" s="3"/>
    </row>
    <row r="10" spans="1:20">
      <c r="A10" s="42"/>
      <c r="B10" s="86"/>
      <c r="C10" s="42"/>
      <c r="D10" s="3"/>
      <c r="E10" s="3"/>
      <c r="F10" s="3"/>
      <c r="G10" s="3"/>
      <c r="H10" s="3"/>
      <c r="I10" s="3"/>
      <c r="J10" s="3"/>
      <c r="K10" s="3"/>
      <c r="L10" s="3"/>
      <c r="M10" s="3"/>
      <c r="N10" s="3"/>
      <c r="O10" s="3"/>
    </row>
    <row r="11" spans="1:20">
      <c r="A11" s="42">
        <v>1</v>
      </c>
      <c r="B11" s="17" t="s">
        <v>74</v>
      </c>
      <c r="C11" s="42" t="s">
        <v>75</v>
      </c>
      <c r="D11" s="117">
        <v>78021</v>
      </c>
      <c r="E11" s="117">
        <v>78174</v>
      </c>
      <c r="F11" s="117">
        <v>78273</v>
      </c>
      <c r="G11" s="117"/>
      <c r="H11" s="117"/>
      <c r="I11" s="117"/>
      <c r="J11" s="117"/>
      <c r="K11" s="117"/>
      <c r="L11" s="117"/>
      <c r="M11" s="117"/>
      <c r="N11" s="117"/>
      <c r="O11" s="118"/>
    </row>
    <row r="12" spans="1:20">
      <c r="A12" s="64">
        <v>2</v>
      </c>
      <c r="B12" s="17" t="s">
        <v>118</v>
      </c>
      <c r="C12" s="42" t="s">
        <v>75</v>
      </c>
      <c r="D12" s="117">
        <v>8841051</v>
      </c>
      <c r="E12" s="117">
        <v>6461869</v>
      </c>
      <c r="F12" s="117">
        <v>5909720</v>
      </c>
      <c r="G12" s="117"/>
      <c r="H12" s="117"/>
      <c r="I12" s="117"/>
      <c r="J12" s="117"/>
      <c r="K12" s="117"/>
      <c r="L12" s="117"/>
      <c r="M12" s="117"/>
      <c r="N12" s="117"/>
      <c r="O12" s="118"/>
    </row>
    <row r="13" spans="1:20">
      <c r="A13" s="42">
        <v>3</v>
      </c>
      <c r="B13" s="17" t="s">
        <v>77</v>
      </c>
      <c r="C13" s="42" t="s">
        <v>75</v>
      </c>
      <c r="D13" s="119">
        <v>4615976.3621499995</v>
      </c>
      <c r="E13" s="119">
        <v>3501267.3593100002</v>
      </c>
      <c r="F13" s="119">
        <v>3242491.5907600001</v>
      </c>
      <c r="G13" s="119"/>
      <c r="H13" s="119"/>
      <c r="I13" s="119"/>
      <c r="J13" s="119"/>
      <c r="K13" s="119"/>
      <c r="L13" s="119"/>
      <c r="M13" s="119"/>
      <c r="N13" s="119"/>
      <c r="O13" s="120"/>
    </row>
    <row r="14" spans="1:20">
      <c r="A14" s="64">
        <v>4</v>
      </c>
      <c r="B14" s="17" t="s">
        <v>78</v>
      </c>
      <c r="C14" s="42" t="s">
        <v>75</v>
      </c>
      <c r="D14" s="119">
        <v>373822.76</v>
      </c>
      <c r="E14" s="119">
        <v>412061.96</v>
      </c>
      <c r="F14" s="119">
        <v>412461.76</v>
      </c>
      <c r="G14" s="119"/>
      <c r="H14" s="119"/>
      <c r="I14" s="119"/>
      <c r="J14" s="119"/>
      <c r="K14" s="119"/>
      <c r="L14" s="119"/>
      <c r="M14" s="119"/>
      <c r="N14" s="119"/>
      <c r="O14" s="120"/>
    </row>
    <row r="15" spans="1:20">
      <c r="A15" s="42">
        <v>5</v>
      </c>
      <c r="B15" s="17"/>
      <c r="C15" s="42"/>
      <c r="D15" s="89"/>
      <c r="E15" s="89"/>
      <c r="F15" s="89"/>
      <c r="G15" s="89"/>
      <c r="H15" s="89"/>
      <c r="I15" s="89"/>
      <c r="J15" s="89"/>
      <c r="K15" s="89"/>
      <c r="L15" s="89"/>
      <c r="M15" s="89"/>
      <c r="N15" s="89"/>
      <c r="O15" s="89"/>
    </row>
    <row r="16" spans="1:20">
      <c r="A16" s="64">
        <v>6</v>
      </c>
      <c r="B16" s="86" t="s">
        <v>79</v>
      </c>
      <c r="C16" s="42"/>
      <c r="D16" s="89"/>
      <c r="E16" s="89"/>
      <c r="F16" s="89"/>
      <c r="G16" s="89"/>
      <c r="H16" s="89"/>
      <c r="I16" s="89"/>
      <c r="J16" s="89"/>
      <c r="K16" s="89"/>
      <c r="L16" s="89"/>
      <c r="M16" s="89"/>
      <c r="N16" s="89"/>
      <c r="O16" s="89"/>
    </row>
    <row r="17" spans="1:20">
      <c r="A17" s="42">
        <v>7</v>
      </c>
      <c r="B17" s="17" t="s">
        <v>80</v>
      </c>
      <c r="C17" s="42" t="str">
        <f>"("&amp;A11&amp;") - ("&amp;A32&amp;")"</f>
        <v>(1) - (22)</v>
      </c>
      <c r="D17" s="89">
        <f>D11-D32</f>
        <v>76205</v>
      </c>
      <c r="E17" s="89">
        <f t="shared" ref="E17:O17" si="1">E11-E32</f>
        <v>76196</v>
      </c>
      <c r="F17" s="89">
        <f t="shared" si="1"/>
        <v>76143</v>
      </c>
      <c r="G17" s="89">
        <f t="shared" si="1"/>
        <v>0</v>
      </c>
      <c r="H17" s="89">
        <f t="shared" si="1"/>
        <v>0</v>
      </c>
      <c r="I17" s="89">
        <f t="shared" si="1"/>
        <v>0</v>
      </c>
      <c r="J17" s="89">
        <f t="shared" si="1"/>
        <v>0</v>
      </c>
      <c r="K17" s="89">
        <f t="shared" si="1"/>
        <v>0</v>
      </c>
      <c r="L17" s="89">
        <f t="shared" si="1"/>
        <v>0</v>
      </c>
      <c r="M17" s="89">
        <f t="shared" si="1"/>
        <v>0</v>
      </c>
      <c r="N17" s="89">
        <f t="shared" si="1"/>
        <v>0</v>
      </c>
      <c r="O17" s="89">
        <f t="shared" si="1"/>
        <v>0</v>
      </c>
      <c r="P17" s="43">
        <f>SUM(D17:F17)</f>
        <v>228544</v>
      </c>
      <c r="Q17" s="43">
        <f>SUM(G17:I17)</f>
        <v>0</v>
      </c>
      <c r="R17" s="43">
        <f>SUM(J17:L17)</f>
        <v>0</v>
      </c>
      <c r="S17" s="43">
        <f>SUM(M17:O17)</f>
        <v>0</v>
      </c>
      <c r="T17" s="43">
        <f>SUM(D17:O17)</f>
        <v>228544</v>
      </c>
    </row>
    <row r="18" spans="1:20">
      <c r="A18" s="64">
        <v>8</v>
      </c>
      <c r="B18" s="83" t="s">
        <v>81</v>
      </c>
      <c r="C18" s="90" t="s">
        <v>82</v>
      </c>
      <c r="D18" s="91">
        <v>56.043384108173441</v>
      </c>
      <c r="E18" s="91">
        <v>48.88080197869796</v>
      </c>
      <c r="F18" s="91">
        <v>42.768047410731207</v>
      </c>
      <c r="G18" s="92">
        <v>24.656470729597984</v>
      </c>
      <c r="H18" s="92">
        <v>16.040244822617421</v>
      </c>
      <c r="I18" s="92">
        <v>10.180930180560864</v>
      </c>
      <c r="J18" s="92">
        <v>6.3513044409960004</v>
      </c>
      <c r="K18" s="92">
        <v>6.2428738271958206</v>
      </c>
      <c r="L18" s="92">
        <v>7.5621981018383329</v>
      </c>
      <c r="M18" s="92">
        <v>23.793055782682746</v>
      </c>
      <c r="N18" s="92">
        <v>47.786909699070137</v>
      </c>
      <c r="O18" s="92">
        <v>61.0637789178381</v>
      </c>
      <c r="P18" s="82">
        <f>P19/P17</f>
        <v>49.232511496812577</v>
      </c>
      <c r="Q18" s="82" t="e">
        <f>Q19/Q17</f>
        <v>#DIV/0!</v>
      </c>
      <c r="R18" s="82" t="e">
        <f>R19/R17</f>
        <v>#DIV/0!</v>
      </c>
      <c r="S18" s="82" t="e">
        <f>S19/S17</f>
        <v>#DIV/0!</v>
      </c>
      <c r="T18" s="82">
        <f>T19/T17</f>
        <v>49.232511496812577</v>
      </c>
    </row>
    <row r="19" spans="1:20">
      <c r="A19" s="42">
        <v>9</v>
      </c>
      <c r="B19" s="17" t="s">
        <v>83</v>
      </c>
      <c r="C19" s="42" t="str">
        <f>"("&amp;A17&amp;") x ("&amp;A18&amp;")"</f>
        <v>(7) x (8)</v>
      </c>
      <c r="D19" s="93">
        <f t="shared" ref="D19:O19" si="2">D17*D18</f>
        <v>4270786.0859633572</v>
      </c>
      <c r="E19" s="93">
        <f t="shared" si="2"/>
        <v>3724521.5875688698</v>
      </c>
      <c r="F19" s="93">
        <f t="shared" si="2"/>
        <v>3256487.433995306</v>
      </c>
      <c r="G19" s="93">
        <f t="shared" si="2"/>
        <v>0</v>
      </c>
      <c r="H19" s="93">
        <f t="shared" si="2"/>
        <v>0</v>
      </c>
      <c r="I19" s="93">
        <f t="shared" si="2"/>
        <v>0</v>
      </c>
      <c r="J19" s="93">
        <f t="shared" si="2"/>
        <v>0</v>
      </c>
      <c r="K19" s="93">
        <f t="shared" si="2"/>
        <v>0</v>
      </c>
      <c r="L19" s="93">
        <f t="shared" si="2"/>
        <v>0</v>
      </c>
      <c r="M19" s="93">
        <f t="shared" si="2"/>
        <v>0</v>
      </c>
      <c r="N19" s="93">
        <f t="shared" si="2"/>
        <v>0</v>
      </c>
      <c r="O19" s="93">
        <f t="shared" si="2"/>
        <v>0</v>
      </c>
      <c r="P19" s="44">
        <f>SUM(D19:F19)</f>
        <v>11251795.107527534</v>
      </c>
      <c r="Q19" s="44">
        <f>SUM(G19:I19)</f>
        <v>0</v>
      </c>
      <c r="R19" s="44">
        <f>SUM(J19:L19)</f>
        <v>0</v>
      </c>
      <c r="S19" s="44">
        <f>SUM(M19:O19)</f>
        <v>0</v>
      </c>
      <c r="T19" s="44">
        <f>SUM(D19:O19)</f>
        <v>11251795.107527534</v>
      </c>
    </row>
    <row r="20" spans="1:20">
      <c r="A20" s="64">
        <v>10</v>
      </c>
      <c r="B20" s="17"/>
      <c r="C20" s="42"/>
      <c r="D20" s="94"/>
      <c r="E20" s="94"/>
      <c r="F20" s="94"/>
      <c r="G20" s="94"/>
      <c r="H20" s="94"/>
      <c r="I20" s="94"/>
      <c r="J20" s="94"/>
      <c r="K20" s="94"/>
      <c r="L20" s="94"/>
      <c r="M20" s="94"/>
      <c r="N20" s="94"/>
      <c r="O20" s="94"/>
    </row>
    <row r="21" spans="1:20">
      <c r="A21" s="42">
        <v>11</v>
      </c>
      <c r="B21" s="17" t="s">
        <v>30</v>
      </c>
      <c r="C21" s="42" t="str">
        <f>"("&amp;A13&amp;") - ("&amp;A36&amp;")"</f>
        <v>(3) - (26)</v>
      </c>
      <c r="D21" s="93">
        <f>D13-D36</f>
        <v>4515206.7121499991</v>
      </c>
      <c r="E21" s="93">
        <f t="shared" ref="E21:O22" si="3">E13-E36</f>
        <v>3412777.4993100003</v>
      </c>
      <c r="F21" s="93">
        <f t="shared" si="3"/>
        <v>3163589.1207599998</v>
      </c>
      <c r="G21" s="93">
        <f t="shared" si="3"/>
        <v>0</v>
      </c>
      <c r="H21" s="93">
        <f t="shared" si="3"/>
        <v>0</v>
      </c>
      <c r="I21" s="93">
        <f t="shared" si="3"/>
        <v>0</v>
      </c>
      <c r="J21" s="93">
        <f t="shared" si="3"/>
        <v>0</v>
      </c>
      <c r="K21" s="93">
        <f t="shared" si="3"/>
        <v>0</v>
      </c>
      <c r="L21" s="93">
        <f t="shared" si="3"/>
        <v>0</v>
      </c>
      <c r="M21" s="93">
        <f t="shared" si="3"/>
        <v>0</v>
      </c>
      <c r="N21" s="93">
        <f t="shared" si="3"/>
        <v>0</v>
      </c>
      <c r="O21" s="93">
        <f t="shared" si="3"/>
        <v>0</v>
      </c>
    </row>
    <row r="22" spans="1:20">
      <c r="A22" s="64">
        <v>12</v>
      </c>
      <c r="B22" s="17" t="s">
        <v>20</v>
      </c>
      <c r="C22" s="42" t="str">
        <f>"("&amp;A14&amp;") - ("&amp;A37&amp;")"</f>
        <v>(4) - (27)</v>
      </c>
      <c r="D22" s="93">
        <f>D14-D37</f>
        <v>365035.97000000003</v>
      </c>
      <c r="E22" s="93">
        <f t="shared" si="3"/>
        <v>401915.65</v>
      </c>
      <c r="F22" s="93">
        <f t="shared" si="3"/>
        <v>401727.75</v>
      </c>
      <c r="G22" s="93">
        <f t="shared" si="3"/>
        <v>0</v>
      </c>
      <c r="H22" s="93">
        <f t="shared" si="3"/>
        <v>0</v>
      </c>
      <c r="I22" s="93">
        <f t="shared" si="3"/>
        <v>0</v>
      </c>
      <c r="J22" s="93">
        <f t="shared" si="3"/>
        <v>0</v>
      </c>
      <c r="K22" s="93">
        <f t="shared" si="3"/>
        <v>0</v>
      </c>
      <c r="L22" s="93">
        <f t="shared" si="3"/>
        <v>0</v>
      </c>
      <c r="M22" s="93">
        <f t="shared" si="3"/>
        <v>0</v>
      </c>
      <c r="N22" s="93">
        <f t="shared" si="3"/>
        <v>0</v>
      </c>
      <c r="O22" s="93">
        <f t="shared" si="3"/>
        <v>0</v>
      </c>
    </row>
    <row r="23" spans="1:20">
      <c r="A23" s="42">
        <v>13</v>
      </c>
      <c r="B23" s="2" t="s">
        <v>119</v>
      </c>
      <c r="C23" s="42" t="str">
        <f>"("&amp;A12&amp;") - ("&amp;A38&amp;")"</f>
        <v>(2) - (28)</v>
      </c>
      <c r="D23" s="89">
        <f>D12-D38</f>
        <v>8643785</v>
      </c>
      <c r="E23" s="89">
        <f t="shared" ref="E23:O23" si="4">E12-E38</f>
        <v>6297692</v>
      </c>
      <c r="F23" s="89">
        <f t="shared" si="4"/>
        <v>5766947</v>
      </c>
      <c r="G23" s="89">
        <f t="shared" si="4"/>
        <v>0</v>
      </c>
      <c r="H23" s="89">
        <f t="shared" si="4"/>
        <v>0</v>
      </c>
      <c r="I23" s="89">
        <f t="shared" si="4"/>
        <v>0</v>
      </c>
      <c r="J23" s="89">
        <f t="shared" si="4"/>
        <v>0</v>
      </c>
      <c r="K23" s="89">
        <f t="shared" si="4"/>
        <v>0</v>
      </c>
      <c r="L23" s="89">
        <f t="shared" si="4"/>
        <v>0</v>
      </c>
      <c r="M23" s="89">
        <f t="shared" si="4"/>
        <v>0</v>
      </c>
      <c r="N23" s="89">
        <f t="shared" si="4"/>
        <v>0</v>
      </c>
      <c r="O23" s="89">
        <f t="shared" si="4"/>
        <v>0</v>
      </c>
    </row>
    <row r="24" spans="1:20">
      <c r="A24" s="64">
        <v>14</v>
      </c>
      <c r="B24" s="17"/>
      <c r="C24" s="42"/>
      <c r="D24" s="95"/>
      <c r="E24" s="95"/>
      <c r="F24" s="95"/>
      <c r="G24" s="95"/>
      <c r="H24" s="95"/>
      <c r="I24" s="95"/>
      <c r="J24" s="95"/>
      <c r="K24" s="95"/>
      <c r="L24" s="95"/>
      <c r="M24" s="95"/>
      <c r="N24" s="95"/>
      <c r="O24" s="95"/>
    </row>
    <row r="25" spans="1:20">
      <c r="A25" s="42">
        <v>15</v>
      </c>
      <c r="B25" s="17"/>
      <c r="C25" s="42"/>
      <c r="D25" s="93"/>
      <c r="E25" s="93"/>
      <c r="F25" s="93"/>
      <c r="G25" s="93"/>
      <c r="H25" s="93"/>
      <c r="I25" s="93"/>
      <c r="J25" s="93"/>
      <c r="K25" s="93"/>
      <c r="L25" s="93"/>
      <c r="M25" s="93"/>
      <c r="N25" s="93"/>
      <c r="O25" s="93"/>
    </row>
    <row r="26" spans="1:20">
      <c r="A26" s="64">
        <v>16</v>
      </c>
      <c r="B26" s="17" t="s">
        <v>88</v>
      </c>
      <c r="C26" s="42" t="str">
        <f>"("&amp;A21&amp;") - ("&amp;A22&amp;") -("&amp;A25&amp;")"</f>
        <v>(11) - (12) -(15)</v>
      </c>
      <c r="D26" s="93">
        <f>D21-D22-D25</f>
        <v>4150170.7421499989</v>
      </c>
      <c r="E26" s="93">
        <f t="shared" ref="E26:O26" si="5">E21-E22-E25</f>
        <v>3010861.8493100004</v>
      </c>
      <c r="F26" s="93">
        <f t="shared" si="5"/>
        <v>2761861.3707599998</v>
      </c>
      <c r="G26" s="93">
        <f t="shared" si="5"/>
        <v>0</v>
      </c>
      <c r="H26" s="93">
        <f t="shared" si="5"/>
        <v>0</v>
      </c>
      <c r="I26" s="93">
        <f t="shared" si="5"/>
        <v>0</v>
      </c>
      <c r="J26" s="93">
        <f t="shared" si="5"/>
        <v>0</v>
      </c>
      <c r="K26" s="93">
        <f t="shared" si="5"/>
        <v>0</v>
      </c>
      <c r="L26" s="93">
        <f t="shared" si="5"/>
        <v>0</v>
      </c>
      <c r="M26" s="93">
        <f t="shared" si="5"/>
        <v>0</v>
      </c>
      <c r="N26" s="93">
        <f t="shared" si="5"/>
        <v>0</v>
      </c>
      <c r="O26" s="93">
        <f t="shared" si="5"/>
        <v>0</v>
      </c>
      <c r="P26" s="44">
        <f>SUM(D26:F26)</f>
        <v>9922893.9622199982</v>
      </c>
      <c r="Q26" s="44">
        <f>SUM(G26:I26)</f>
        <v>0</v>
      </c>
      <c r="R26" s="44">
        <f>SUM(J26:L26)</f>
        <v>0</v>
      </c>
      <c r="S26" s="44">
        <f>SUM(M26:O26)</f>
        <v>0</v>
      </c>
      <c r="T26" s="44">
        <f>SUM(D26:O26)</f>
        <v>9922893.9622199982</v>
      </c>
    </row>
    <row r="27" spans="1:20">
      <c r="A27" s="42">
        <v>17</v>
      </c>
      <c r="B27" s="3" t="s">
        <v>21</v>
      </c>
      <c r="C27" s="42"/>
      <c r="D27" s="96">
        <f t="shared" ref="D27:O27" si="6">D26/D17</f>
        <v>54.460609437044802</v>
      </c>
      <c r="E27" s="96">
        <f t="shared" si="6"/>
        <v>39.514696956664395</v>
      </c>
      <c r="F27" s="96">
        <f t="shared" si="6"/>
        <v>36.272032501477483</v>
      </c>
      <c r="G27" s="96" t="e">
        <f t="shared" si="6"/>
        <v>#DIV/0!</v>
      </c>
      <c r="H27" s="96" t="e">
        <f t="shared" si="6"/>
        <v>#DIV/0!</v>
      </c>
      <c r="I27" s="96" t="e">
        <f t="shared" si="6"/>
        <v>#DIV/0!</v>
      </c>
      <c r="J27" s="96" t="e">
        <f t="shared" si="6"/>
        <v>#DIV/0!</v>
      </c>
      <c r="K27" s="96" t="e">
        <f t="shared" si="6"/>
        <v>#DIV/0!</v>
      </c>
      <c r="L27" s="96" t="e">
        <f t="shared" si="6"/>
        <v>#DIV/0!</v>
      </c>
      <c r="M27" s="96" t="e">
        <f t="shared" si="6"/>
        <v>#DIV/0!</v>
      </c>
      <c r="N27" s="96" t="e">
        <f t="shared" si="6"/>
        <v>#DIV/0!</v>
      </c>
      <c r="O27" s="96" t="e">
        <f t="shared" si="6"/>
        <v>#DIV/0!</v>
      </c>
      <c r="P27" s="82">
        <f>P26/P17</f>
        <v>43.417871229260001</v>
      </c>
      <c r="Q27" s="82" t="e">
        <f t="shared" ref="Q27:T27" si="7">Q26/Q17</f>
        <v>#DIV/0!</v>
      </c>
      <c r="R27" s="82" t="e">
        <f t="shared" si="7"/>
        <v>#DIV/0!</v>
      </c>
      <c r="S27" s="82" t="e">
        <f t="shared" si="7"/>
        <v>#DIV/0!</v>
      </c>
      <c r="T27" s="82">
        <f t="shared" si="7"/>
        <v>43.417871229260001</v>
      </c>
    </row>
    <row r="28" spans="1:20">
      <c r="A28" s="64">
        <v>18</v>
      </c>
      <c r="B28" s="17" t="s">
        <v>89</v>
      </c>
      <c r="C28" s="42" t="str">
        <f>"("&amp;A$19&amp;") - ("&amp;A26&amp;")"</f>
        <v>(9) - (16)</v>
      </c>
      <c r="D28" s="93">
        <f t="shared" ref="D28:O28" si="8">D19-D26</f>
        <v>120615.34381335834</v>
      </c>
      <c r="E28" s="93">
        <f t="shared" si="8"/>
        <v>713659.73825886939</v>
      </c>
      <c r="F28" s="93">
        <f t="shared" si="8"/>
        <v>494626.06323530618</v>
      </c>
      <c r="G28" s="93">
        <f t="shared" si="8"/>
        <v>0</v>
      </c>
      <c r="H28" s="93">
        <f t="shared" si="8"/>
        <v>0</v>
      </c>
      <c r="I28" s="93">
        <f t="shared" si="8"/>
        <v>0</v>
      </c>
      <c r="J28" s="93">
        <f t="shared" si="8"/>
        <v>0</v>
      </c>
      <c r="K28" s="93">
        <f t="shared" si="8"/>
        <v>0</v>
      </c>
      <c r="L28" s="93">
        <f t="shared" si="8"/>
        <v>0</v>
      </c>
      <c r="M28" s="93">
        <f t="shared" si="8"/>
        <v>0</v>
      </c>
      <c r="N28" s="93">
        <f t="shared" si="8"/>
        <v>0</v>
      </c>
      <c r="O28" s="93">
        <f t="shared" si="8"/>
        <v>0</v>
      </c>
      <c r="P28" s="44">
        <f>SUM(D28:F28)</f>
        <v>1328901.1453075339</v>
      </c>
      <c r="Q28" s="44">
        <f>SUM(G28:I28)</f>
        <v>0</v>
      </c>
      <c r="R28" s="44">
        <f>SUM(J28:L28)</f>
        <v>0</v>
      </c>
      <c r="S28" s="44">
        <f>SUM(M28:O28)</f>
        <v>0</v>
      </c>
      <c r="T28" s="44">
        <f>SUM(D28:O28)</f>
        <v>1328901.1453075339</v>
      </c>
    </row>
    <row r="29" spans="1:20">
      <c r="A29" s="42">
        <v>19</v>
      </c>
      <c r="B29" s="17"/>
      <c r="C29" s="42"/>
      <c r="D29" s="93"/>
      <c r="E29" s="93"/>
      <c r="F29" s="93"/>
      <c r="G29" s="93"/>
      <c r="H29" s="93"/>
      <c r="I29" s="93"/>
      <c r="J29" s="93"/>
      <c r="K29" s="93"/>
      <c r="L29" s="93"/>
      <c r="M29" s="93"/>
      <c r="N29" s="93"/>
      <c r="O29" s="93"/>
    </row>
    <row r="30" spans="1:20">
      <c r="A30" s="64">
        <v>20</v>
      </c>
      <c r="B30" s="17"/>
      <c r="C30" s="42"/>
      <c r="D30" s="93"/>
      <c r="E30" s="93"/>
      <c r="F30" s="93"/>
      <c r="G30" s="93"/>
      <c r="H30" s="93"/>
      <c r="I30" s="93"/>
      <c r="J30" s="93"/>
      <c r="K30" s="93"/>
      <c r="L30" s="93"/>
      <c r="M30" s="93"/>
      <c r="N30" s="93"/>
      <c r="O30" s="93"/>
    </row>
    <row r="31" spans="1:20">
      <c r="A31" s="42">
        <v>21</v>
      </c>
      <c r="B31" s="86" t="s">
        <v>90</v>
      </c>
      <c r="C31" s="42"/>
      <c r="D31" s="93"/>
      <c r="E31" s="93"/>
      <c r="F31" s="93"/>
      <c r="G31" s="93"/>
      <c r="H31" s="93"/>
      <c r="I31" s="93"/>
      <c r="J31" s="93"/>
      <c r="K31" s="93"/>
      <c r="L31" s="93"/>
      <c r="M31" s="93"/>
      <c r="N31" s="93"/>
      <c r="O31" s="93"/>
    </row>
    <row r="32" spans="1:20">
      <c r="A32" s="64">
        <v>22</v>
      </c>
      <c r="B32" s="17" t="s">
        <v>91</v>
      </c>
      <c r="C32" s="42" t="s">
        <v>75</v>
      </c>
      <c r="D32" s="117">
        <v>1816</v>
      </c>
      <c r="E32" s="117">
        <v>1978</v>
      </c>
      <c r="F32" s="117">
        <v>2130</v>
      </c>
      <c r="G32" s="117"/>
      <c r="H32" s="117"/>
      <c r="I32" s="117"/>
      <c r="J32" s="117"/>
      <c r="K32" s="117"/>
      <c r="L32" s="117"/>
      <c r="M32" s="117"/>
      <c r="N32" s="117"/>
      <c r="O32" s="117"/>
      <c r="P32" s="43">
        <f>SUM(D32:F32)</f>
        <v>5924</v>
      </c>
      <c r="Q32" s="43">
        <f>SUM(G32:I32)</f>
        <v>0</v>
      </c>
      <c r="R32" s="43">
        <f>SUM(J32:L32)</f>
        <v>0</v>
      </c>
      <c r="S32" s="43">
        <f>SUM(M32:O32)</f>
        <v>0</v>
      </c>
      <c r="T32" s="43">
        <f>SUM(D32:O32)</f>
        <v>5924</v>
      </c>
    </row>
    <row r="33" spans="1:20">
      <c r="A33" s="42">
        <v>23</v>
      </c>
      <c r="B33" s="83" t="s">
        <v>81</v>
      </c>
      <c r="C33" s="90" t="s">
        <v>82</v>
      </c>
      <c r="D33" s="91">
        <v>52.794376696375359</v>
      </c>
      <c r="E33" s="91">
        <v>46.047031490875781</v>
      </c>
      <c r="F33" s="91">
        <v>40.288652113020547</v>
      </c>
      <c r="G33" s="91">
        <v>23.227059258038341</v>
      </c>
      <c r="H33" s="91">
        <v>15.110342477406626</v>
      </c>
      <c r="I33" s="91">
        <v>9.5907103331691559</v>
      </c>
      <c r="J33" s="91">
        <v>5.9830997807714832</v>
      </c>
      <c r="K33" s="91">
        <v>5.8809552232740883</v>
      </c>
      <c r="L33" s="91">
        <v>7.1237942104006837</v>
      </c>
      <c r="M33" s="91">
        <v>22.413699132162645</v>
      </c>
      <c r="N33" s="91">
        <v>45.016555512400643</v>
      </c>
      <c r="O33" s="91">
        <v>57.523723772104645</v>
      </c>
      <c r="P33" s="82">
        <f>P34/P32</f>
        <v>46.044977273852751</v>
      </c>
      <c r="Q33" s="82" t="e">
        <f>Q34/Q32</f>
        <v>#DIV/0!</v>
      </c>
      <c r="R33" s="82" t="e">
        <f>R34/R32</f>
        <v>#DIV/0!</v>
      </c>
      <c r="S33" s="82" t="e">
        <f>S34/S32</f>
        <v>#DIV/0!</v>
      </c>
      <c r="T33" s="82">
        <f>T34/T32</f>
        <v>46.044977273852751</v>
      </c>
    </row>
    <row r="34" spans="1:20">
      <c r="A34" s="64">
        <v>24</v>
      </c>
      <c r="B34" s="17" t="s">
        <v>83</v>
      </c>
      <c r="C34" s="42" t="str">
        <f>"("&amp;A32&amp;") x ("&amp;A33&amp;")"</f>
        <v>(22) x (23)</v>
      </c>
      <c r="D34" s="93">
        <f t="shared" ref="D34:O34" si="9">D32*D33</f>
        <v>95874.588080617657</v>
      </c>
      <c r="E34" s="93">
        <f t="shared" si="9"/>
        <v>91081.028288952293</v>
      </c>
      <c r="F34" s="93">
        <f t="shared" si="9"/>
        <v>85814.829000733764</v>
      </c>
      <c r="G34" s="93">
        <f t="shared" si="9"/>
        <v>0</v>
      </c>
      <c r="H34" s="93">
        <f t="shared" si="9"/>
        <v>0</v>
      </c>
      <c r="I34" s="93">
        <f t="shared" si="9"/>
        <v>0</v>
      </c>
      <c r="J34" s="93">
        <f t="shared" si="9"/>
        <v>0</v>
      </c>
      <c r="K34" s="93">
        <f t="shared" si="9"/>
        <v>0</v>
      </c>
      <c r="L34" s="93">
        <f t="shared" si="9"/>
        <v>0</v>
      </c>
      <c r="M34" s="93">
        <f t="shared" si="9"/>
        <v>0</v>
      </c>
      <c r="N34" s="93">
        <f t="shared" si="9"/>
        <v>0</v>
      </c>
      <c r="O34" s="93">
        <f t="shared" si="9"/>
        <v>0</v>
      </c>
      <c r="P34" s="44">
        <f>SUM(D34:F34)</f>
        <v>272770.4453703037</v>
      </c>
      <c r="Q34" s="44">
        <f>SUM(G34:I34)</f>
        <v>0</v>
      </c>
      <c r="R34" s="44">
        <f>SUM(J34:L34)</f>
        <v>0</v>
      </c>
      <c r="S34" s="44">
        <f>SUM(M34:O34)</f>
        <v>0</v>
      </c>
      <c r="T34" s="44">
        <f>SUM(D34:O34)</f>
        <v>272770.4453703037</v>
      </c>
    </row>
    <row r="35" spans="1:20">
      <c r="A35" s="42">
        <v>25</v>
      </c>
      <c r="B35" s="17"/>
      <c r="C35" s="42"/>
      <c r="D35" s="94"/>
      <c r="E35" s="94"/>
      <c r="F35" s="94"/>
      <c r="G35" s="94"/>
      <c r="H35" s="94"/>
      <c r="I35" s="94"/>
      <c r="J35" s="94"/>
      <c r="K35" s="94"/>
      <c r="L35" s="94"/>
      <c r="M35" s="94"/>
      <c r="N35" s="94"/>
      <c r="O35" s="94"/>
    </row>
    <row r="36" spans="1:20">
      <c r="A36" s="64">
        <v>26</v>
      </c>
      <c r="B36" s="17" t="s">
        <v>30</v>
      </c>
      <c r="C36" s="42" t="s">
        <v>75</v>
      </c>
      <c r="D36" s="119">
        <v>100769.65</v>
      </c>
      <c r="E36" s="119">
        <v>88489.86</v>
      </c>
      <c r="F36" s="119">
        <v>78902.47</v>
      </c>
      <c r="G36" s="119"/>
      <c r="H36" s="119"/>
      <c r="I36" s="119"/>
      <c r="J36" s="119"/>
      <c r="K36" s="119"/>
      <c r="L36" s="119"/>
      <c r="M36" s="119"/>
      <c r="N36" s="119"/>
      <c r="O36" s="119"/>
    </row>
    <row r="37" spans="1:20">
      <c r="A37" s="42">
        <v>27</v>
      </c>
      <c r="B37" s="17" t="s">
        <v>20</v>
      </c>
      <c r="C37" s="42" t="s">
        <v>75</v>
      </c>
      <c r="D37" s="119">
        <v>8786.7900000000009</v>
      </c>
      <c r="E37" s="119">
        <v>10146.31</v>
      </c>
      <c r="F37" s="119">
        <v>10734.01</v>
      </c>
      <c r="G37" s="119"/>
      <c r="H37" s="119"/>
      <c r="I37" s="119"/>
      <c r="J37" s="119"/>
      <c r="K37" s="119"/>
      <c r="L37" s="119"/>
      <c r="M37" s="119"/>
      <c r="N37" s="119"/>
      <c r="O37" s="119"/>
    </row>
    <row r="38" spans="1:20">
      <c r="A38" s="64">
        <v>28</v>
      </c>
      <c r="B38" s="2" t="s">
        <v>119</v>
      </c>
      <c r="C38" s="42" t="s">
        <v>75</v>
      </c>
      <c r="D38" s="117">
        <v>197266</v>
      </c>
      <c r="E38" s="117">
        <v>164177</v>
      </c>
      <c r="F38" s="117">
        <v>142773</v>
      </c>
      <c r="G38" s="117"/>
      <c r="H38" s="117"/>
      <c r="I38" s="117"/>
      <c r="J38" s="117"/>
      <c r="K38" s="117"/>
      <c r="L38" s="117"/>
      <c r="M38" s="117"/>
      <c r="N38" s="117"/>
      <c r="O38" s="117"/>
    </row>
    <row r="39" spans="1:20">
      <c r="A39" s="42">
        <v>29</v>
      </c>
      <c r="B39" s="17"/>
      <c r="C39" s="42"/>
      <c r="D39" s="95"/>
      <c r="E39" s="95"/>
      <c r="F39" s="95"/>
      <c r="G39" s="95"/>
      <c r="H39" s="95"/>
      <c r="I39" s="95"/>
      <c r="J39" s="95"/>
      <c r="K39" s="95"/>
      <c r="L39" s="95"/>
      <c r="M39" s="95"/>
      <c r="N39" s="95"/>
      <c r="O39" s="95"/>
    </row>
    <row r="40" spans="1:20">
      <c r="A40" s="64">
        <v>30</v>
      </c>
      <c r="B40" s="17"/>
      <c r="C40" s="42"/>
      <c r="D40" s="93"/>
      <c r="E40" s="93"/>
      <c r="F40" s="93"/>
      <c r="G40" s="93"/>
      <c r="H40" s="93"/>
      <c r="I40" s="93"/>
      <c r="J40" s="93"/>
      <c r="K40" s="93"/>
      <c r="L40" s="93"/>
      <c r="M40" s="93"/>
      <c r="N40" s="93"/>
      <c r="O40" s="93"/>
    </row>
    <row r="41" spans="1:20">
      <c r="A41" s="42">
        <v>31</v>
      </c>
      <c r="B41" s="97" t="s">
        <v>120</v>
      </c>
      <c r="C41" s="42" t="s">
        <v>93</v>
      </c>
      <c r="D41" s="95">
        <v>2.7688999999999998E-2</v>
      </c>
      <c r="E41" s="95">
        <f>D41</f>
        <v>2.7688999999999998E-2</v>
      </c>
      <c r="F41" s="95">
        <f t="shared" ref="F41:O41" si="10">E41</f>
        <v>2.7688999999999998E-2</v>
      </c>
      <c r="G41" s="95">
        <f t="shared" si="10"/>
        <v>2.7688999999999998E-2</v>
      </c>
      <c r="H41" s="95">
        <f t="shared" si="10"/>
        <v>2.7688999999999998E-2</v>
      </c>
      <c r="I41" s="95">
        <f t="shared" si="10"/>
        <v>2.7688999999999998E-2</v>
      </c>
      <c r="J41" s="95">
        <f t="shared" si="10"/>
        <v>2.7688999999999998E-2</v>
      </c>
      <c r="K41" s="95">
        <f t="shared" si="10"/>
        <v>2.7688999999999998E-2</v>
      </c>
      <c r="L41" s="95">
        <f t="shared" si="10"/>
        <v>2.7688999999999998E-2</v>
      </c>
      <c r="M41" s="95">
        <f t="shared" si="10"/>
        <v>2.7688999999999998E-2</v>
      </c>
      <c r="N41" s="95">
        <f t="shared" si="10"/>
        <v>2.7688999999999998E-2</v>
      </c>
      <c r="O41" s="95">
        <f t="shared" si="10"/>
        <v>2.7688999999999998E-2</v>
      </c>
    </row>
    <row r="42" spans="1:20">
      <c r="A42" s="64">
        <v>32</v>
      </c>
      <c r="B42" s="97" t="s">
        <v>121</v>
      </c>
      <c r="C42" s="42" t="str">
        <f>"("&amp;A40&amp;") x ("&amp;A41&amp;")"</f>
        <v>(30) x (31)</v>
      </c>
      <c r="D42" s="93">
        <f>D38*D41</f>
        <v>5462.0982739999999</v>
      </c>
      <c r="E42" s="93">
        <f t="shared" ref="E42:O42" si="11">E38*E41</f>
        <v>4545.8969529999995</v>
      </c>
      <c r="F42" s="93">
        <f t="shared" si="11"/>
        <v>3953.2415969999997</v>
      </c>
      <c r="G42" s="93">
        <f t="shared" si="11"/>
        <v>0</v>
      </c>
      <c r="H42" s="93">
        <f t="shared" si="11"/>
        <v>0</v>
      </c>
      <c r="I42" s="93">
        <f t="shared" si="11"/>
        <v>0</v>
      </c>
      <c r="J42" s="93">
        <f t="shared" si="11"/>
        <v>0</v>
      </c>
      <c r="K42" s="93">
        <f t="shared" si="11"/>
        <v>0</v>
      </c>
      <c r="L42" s="93">
        <f t="shared" si="11"/>
        <v>0</v>
      </c>
      <c r="M42" s="93">
        <f t="shared" si="11"/>
        <v>0</v>
      </c>
      <c r="N42" s="93">
        <f t="shared" si="11"/>
        <v>0</v>
      </c>
      <c r="O42" s="93">
        <f t="shared" si="11"/>
        <v>0</v>
      </c>
    </row>
    <row r="43" spans="1:20">
      <c r="A43" s="42">
        <v>33</v>
      </c>
      <c r="B43" s="17" t="s">
        <v>88</v>
      </c>
      <c r="C43" s="42" t="str">
        <f>"("&amp;A36&amp;") - ("&amp;A37&amp;") - ("&amp;A40&amp;") - ("&amp;A42&amp;")"</f>
        <v>(26) - (27) - (30) - (32)</v>
      </c>
      <c r="D43" s="93">
        <f>D36-D37-D40-D42</f>
        <v>86520.761725999982</v>
      </c>
      <c r="E43" s="93">
        <f t="shared" ref="E43:O43" si="12">E36-E37-E40-E42</f>
        <v>73797.653047</v>
      </c>
      <c r="F43" s="93">
        <f t="shared" si="12"/>
        <v>64215.218403000006</v>
      </c>
      <c r="G43" s="93">
        <f t="shared" si="12"/>
        <v>0</v>
      </c>
      <c r="H43" s="93">
        <f t="shared" si="12"/>
        <v>0</v>
      </c>
      <c r="I43" s="93">
        <f t="shared" si="12"/>
        <v>0</v>
      </c>
      <c r="J43" s="93">
        <f t="shared" si="12"/>
        <v>0</v>
      </c>
      <c r="K43" s="93">
        <f t="shared" si="12"/>
        <v>0</v>
      </c>
      <c r="L43" s="93">
        <f t="shared" si="12"/>
        <v>0</v>
      </c>
      <c r="M43" s="93">
        <f t="shared" si="12"/>
        <v>0</v>
      </c>
      <c r="N43" s="93">
        <f t="shared" si="12"/>
        <v>0</v>
      </c>
      <c r="O43" s="93">
        <f t="shared" si="12"/>
        <v>0</v>
      </c>
      <c r="P43" s="44">
        <f>SUM(D43:F43)</f>
        <v>224533.633176</v>
      </c>
      <c r="Q43" s="44">
        <f>SUM(G43:I43)</f>
        <v>0</v>
      </c>
      <c r="R43" s="44">
        <f>SUM(J43:L43)</f>
        <v>0</v>
      </c>
      <c r="S43" s="44">
        <f>SUM(M43:O43)</f>
        <v>0</v>
      </c>
      <c r="T43" s="44">
        <f>SUM(D43:O43)</f>
        <v>224533.633176</v>
      </c>
    </row>
    <row r="44" spans="1:20">
      <c r="A44" s="64">
        <v>34</v>
      </c>
      <c r="B44" s="3" t="s">
        <v>21</v>
      </c>
      <c r="C44" s="42"/>
      <c r="D44" s="96">
        <f t="shared" ref="D44:O44" si="13">D43/D32</f>
        <v>47.643591258810567</v>
      </c>
      <c r="E44" s="96">
        <f t="shared" si="13"/>
        <v>37.309228031850353</v>
      </c>
      <c r="F44" s="96">
        <f t="shared" si="13"/>
        <v>30.147989860563385</v>
      </c>
      <c r="G44" s="96" t="e">
        <f t="shared" si="13"/>
        <v>#DIV/0!</v>
      </c>
      <c r="H44" s="96" t="e">
        <f t="shared" si="13"/>
        <v>#DIV/0!</v>
      </c>
      <c r="I44" s="96" t="e">
        <f t="shared" si="13"/>
        <v>#DIV/0!</v>
      </c>
      <c r="J44" s="96" t="e">
        <f t="shared" si="13"/>
        <v>#DIV/0!</v>
      </c>
      <c r="K44" s="96" t="e">
        <f t="shared" si="13"/>
        <v>#DIV/0!</v>
      </c>
      <c r="L44" s="96" t="e">
        <f t="shared" si="13"/>
        <v>#DIV/0!</v>
      </c>
      <c r="M44" s="96" t="e">
        <f t="shared" si="13"/>
        <v>#DIV/0!</v>
      </c>
      <c r="N44" s="96" t="e">
        <f t="shared" si="13"/>
        <v>#DIV/0!</v>
      </c>
      <c r="O44" s="96" t="e">
        <f t="shared" si="13"/>
        <v>#DIV/0!</v>
      </c>
      <c r="P44" s="82">
        <f>P43/P32</f>
        <v>37.902368868332211</v>
      </c>
      <c r="Q44" s="82" t="e">
        <f t="shared" ref="Q44:T44" si="14">Q43/Q32</f>
        <v>#DIV/0!</v>
      </c>
      <c r="R44" s="82" t="e">
        <f t="shared" si="14"/>
        <v>#DIV/0!</v>
      </c>
      <c r="S44" s="82" t="e">
        <f t="shared" si="14"/>
        <v>#DIV/0!</v>
      </c>
      <c r="T44" s="82">
        <f t="shared" si="14"/>
        <v>37.902368868332211</v>
      </c>
    </row>
    <row r="45" spans="1:20">
      <c r="A45" s="42">
        <v>35</v>
      </c>
      <c r="B45" s="17" t="s">
        <v>95</v>
      </c>
      <c r="C45" s="42" t="str">
        <f>"("&amp;A$19&amp;") - ("&amp;A43&amp;")"</f>
        <v>(9) - (33)</v>
      </c>
      <c r="D45" s="93">
        <f t="shared" ref="D45:O45" si="15">D34-D43</f>
        <v>9353.826354617675</v>
      </c>
      <c r="E45" s="93">
        <f t="shared" si="15"/>
        <v>17283.375241952293</v>
      </c>
      <c r="F45" s="93">
        <f t="shared" si="15"/>
        <v>21599.610597733757</v>
      </c>
      <c r="G45" s="93">
        <f t="shared" si="15"/>
        <v>0</v>
      </c>
      <c r="H45" s="93">
        <f t="shared" si="15"/>
        <v>0</v>
      </c>
      <c r="I45" s="93">
        <f t="shared" si="15"/>
        <v>0</v>
      </c>
      <c r="J45" s="93">
        <f t="shared" si="15"/>
        <v>0</v>
      </c>
      <c r="K45" s="93">
        <f t="shared" si="15"/>
        <v>0</v>
      </c>
      <c r="L45" s="93">
        <f t="shared" si="15"/>
        <v>0</v>
      </c>
      <c r="M45" s="93">
        <f t="shared" si="15"/>
        <v>0</v>
      </c>
      <c r="N45" s="93">
        <f t="shared" si="15"/>
        <v>0</v>
      </c>
      <c r="O45" s="93">
        <f t="shared" si="15"/>
        <v>0</v>
      </c>
      <c r="P45" s="44">
        <f>SUM(D45:F45)</f>
        <v>48236.812194303726</v>
      </c>
      <c r="Q45" s="44">
        <f>SUM(G45:I45)</f>
        <v>0</v>
      </c>
      <c r="R45" s="44">
        <f>SUM(J45:L45)</f>
        <v>0</v>
      </c>
      <c r="S45" s="44">
        <f>SUM(M45:O45)</f>
        <v>0</v>
      </c>
      <c r="T45" s="44">
        <f>SUM(D45:O45)</f>
        <v>48236.812194303726</v>
      </c>
    </row>
    <row r="46" spans="1:20">
      <c r="A46" s="64">
        <v>36</v>
      </c>
      <c r="B46" s="17"/>
      <c r="C46" s="42"/>
      <c r="D46" s="93"/>
      <c r="E46" s="93"/>
      <c r="F46" s="93"/>
      <c r="G46" s="93"/>
      <c r="H46" s="93"/>
      <c r="I46" s="93"/>
      <c r="J46" s="93"/>
      <c r="K46" s="93"/>
      <c r="L46" s="93"/>
      <c r="M46" s="93"/>
      <c r="N46" s="93"/>
      <c r="O46" s="93"/>
    </row>
    <row r="47" spans="1:20">
      <c r="A47" s="98">
        <v>37</v>
      </c>
      <c r="B47" s="99" t="s">
        <v>96</v>
      </c>
      <c r="C47" s="98" t="str">
        <f>"("&amp;A$28&amp;") + ("&amp;A45&amp;")"</f>
        <v>(18) + (35)</v>
      </c>
      <c r="D47" s="100">
        <f>D28+D45</f>
        <v>129969.17016797602</v>
      </c>
      <c r="E47" s="100">
        <f>E28+E45</f>
        <v>730943.11350082164</v>
      </c>
      <c r="F47" s="100">
        <f t="shared" ref="F47:O47" si="16">F28+F45</f>
        <v>516225.67383303994</v>
      </c>
      <c r="G47" s="100">
        <f t="shared" si="16"/>
        <v>0</v>
      </c>
      <c r="H47" s="100">
        <f t="shared" si="16"/>
        <v>0</v>
      </c>
      <c r="I47" s="100">
        <f t="shared" si="16"/>
        <v>0</v>
      </c>
      <c r="J47" s="100">
        <f t="shared" si="16"/>
        <v>0</v>
      </c>
      <c r="K47" s="100">
        <f t="shared" si="16"/>
        <v>0</v>
      </c>
      <c r="L47" s="100">
        <f t="shared" si="16"/>
        <v>0</v>
      </c>
      <c r="M47" s="100">
        <f t="shared" si="16"/>
        <v>0</v>
      </c>
      <c r="N47" s="100">
        <f t="shared" si="16"/>
        <v>0</v>
      </c>
      <c r="O47" s="100">
        <f t="shared" si="16"/>
        <v>0</v>
      </c>
      <c r="P47" s="100">
        <f>SUM(D47:F47)</f>
        <v>1377137.9575018375</v>
      </c>
      <c r="Q47" s="100">
        <f>SUM(G47:I47)</f>
        <v>0</v>
      </c>
      <c r="R47" s="100">
        <f>SUM(J47:L47)</f>
        <v>0</v>
      </c>
      <c r="S47" s="100">
        <f>SUM(M47:O47)</f>
        <v>0</v>
      </c>
      <c r="T47" s="100">
        <f>SUM(D47:O47)</f>
        <v>1377137.9575018375</v>
      </c>
    </row>
    <row r="48" spans="1:20">
      <c r="A48" s="101">
        <v>38</v>
      </c>
      <c r="B48" s="99" t="s">
        <v>22</v>
      </c>
      <c r="C48" s="102" t="s">
        <v>23</v>
      </c>
      <c r="D48" s="100">
        <f>D28*-0.005778</f>
        <v>-696.91545655358448</v>
      </c>
      <c r="E48" s="100">
        <f t="shared" ref="E48:O48" si="17">E28*-0.005778</f>
        <v>-4123.525967659747</v>
      </c>
      <c r="F48" s="100">
        <f t="shared" si="17"/>
        <v>-2857.9493933735994</v>
      </c>
      <c r="G48" s="100">
        <f t="shared" si="17"/>
        <v>0</v>
      </c>
      <c r="H48" s="100">
        <f t="shared" si="17"/>
        <v>0</v>
      </c>
      <c r="I48" s="100">
        <f t="shared" si="17"/>
        <v>0</v>
      </c>
      <c r="J48" s="100">
        <f t="shared" si="17"/>
        <v>0</v>
      </c>
      <c r="K48" s="100">
        <f t="shared" si="17"/>
        <v>0</v>
      </c>
      <c r="L48" s="100">
        <f t="shared" si="17"/>
        <v>0</v>
      </c>
      <c r="M48" s="100">
        <f t="shared" si="17"/>
        <v>0</v>
      </c>
      <c r="N48" s="100">
        <f t="shared" si="17"/>
        <v>0</v>
      </c>
      <c r="O48" s="100">
        <f t="shared" si="17"/>
        <v>0</v>
      </c>
      <c r="P48" s="100">
        <f>SUM(D48:F48)</f>
        <v>-7678.390817586931</v>
      </c>
      <c r="Q48" s="100">
        <f>SUM(G48:I48)</f>
        <v>0</v>
      </c>
      <c r="R48" s="100">
        <f>SUM(J48:L48)</f>
        <v>0</v>
      </c>
      <c r="S48" s="100">
        <f>SUM(M48:O48)</f>
        <v>0</v>
      </c>
      <c r="T48" s="100">
        <f>SUM(D48:O48)</f>
        <v>-7678.390817586931</v>
      </c>
    </row>
    <row r="49" spans="1:20">
      <c r="A49" s="42">
        <v>39</v>
      </c>
      <c r="B49" s="17"/>
      <c r="C49" s="3" t="s">
        <v>97</v>
      </c>
      <c r="D49" s="103">
        <v>0.01</v>
      </c>
      <c r="E49" s="103">
        <f t="shared" ref="E49:O49" si="18">D49</f>
        <v>0.01</v>
      </c>
      <c r="F49" s="103">
        <f t="shared" si="18"/>
        <v>0.01</v>
      </c>
      <c r="G49" s="103">
        <v>0</v>
      </c>
      <c r="H49" s="103">
        <f t="shared" si="18"/>
        <v>0</v>
      </c>
      <c r="I49" s="103">
        <f t="shared" si="18"/>
        <v>0</v>
      </c>
      <c r="J49" s="103">
        <f t="shared" si="18"/>
        <v>0</v>
      </c>
      <c r="K49" s="103">
        <f t="shared" si="18"/>
        <v>0</v>
      </c>
      <c r="L49" s="103">
        <f t="shared" si="18"/>
        <v>0</v>
      </c>
      <c r="M49" s="103">
        <f t="shared" si="18"/>
        <v>0</v>
      </c>
      <c r="N49" s="103">
        <f t="shared" si="18"/>
        <v>0</v>
      </c>
      <c r="O49" s="103">
        <f t="shared" si="18"/>
        <v>0</v>
      </c>
    </row>
    <row r="50" spans="1:20">
      <c r="A50" s="101">
        <v>40</v>
      </c>
      <c r="B50" s="99" t="s">
        <v>24</v>
      </c>
      <c r="C50" s="99" t="s">
        <v>28</v>
      </c>
      <c r="D50" s="104">
        <f>(D47+D48)/2*D49/12</f>
        <v>53.863439463092682</v>
      </c>
      <c r="E50" s="104">
        <f>(D53+(E47+E48)/2)*E49/12</f>
        <v>410.61325993122205</v>
      </c>
      <c r="F50" s="104">
        <f t="shared" ref="F50:O50" si="19">(E53+(F47+F48)/2)*F49/12</f>
        <v>927.70015096984309</v>
      </c>
      <c r="G50" s="104">
        <f t="shared" si="19"/>
        <v>0</v>
      </c>
      <c r="H50" s="104">
        <f t="shared" si="19"/>
        <v>0</v>
      </c>
      <c r="I50" s="104">
        <f t="shared" si="19"/>
        <v>0</v>
      </c>
      <c r="J50" s="104">
        <f t="shared" si="19"/>
        <v>0</v>
      </c>
      <c r="K50" s="104">
        <f t="shared" si="19"/>
        <v>0</v>
      </c>
      <c r="L50" s="104">
        <f t="shared" si="19"/>
        <v>0</v>
      </c>
      <c r="M50" s="104">
        <f t="shared" si="19"/>
        <v>0</v>
      </c>
      <c r="N50" s="104">
        <f t="shared" si="19"/>
        <v>0</v>
      </c>
      <c r="O50" s="104">
        <f t="shared" si="19"/>
        <v>0</v>
      </c>
      <c r="P50" s="104">
        <f>SUM(D50:F50)</f>
        <v>1392.1768503641579</v>
      </c>
      <c r="Q50" s="104">
        <f>SUM(G50:I50)</f>
        <v>0</v>
      </c>
      <c r="R50" s="104">
        <f>SUM(J50:L50)</f>
        <v>0</v>
      </c>
      <c r="S50" s="104">
        <f>SUM(M50:O50)</f>
        <v>0</v>
      </c>
      <c r="T50" s="104">
        <f>SUM(D50:O50)</f>
        <v>1392.1768503641579</v>
      </c>
    </row>
    <row r="51" spans="1:20">
      <c r="A51" s="105">
        <v>41</v>
      </c>
      <c r="B51" s="106" t="s">
        <v>25</v>
      </c>
      <c r="C51" s="107"/>
      <c r="D51" s="108">
        <f>D47+D48+D50</f>
        <v>129326.11815088552</v>
      </c>
      <c r="E51" s="108">
        <f>E47+E48+E50</f>
        <v>727230.20079309307</v>
      </c>
      <c r="F51" s="108">
        <f t="shared" ref="F51:T51" si="20">F47+F48+F50</f>
        <v>514295.42459063616</v>
      </c>
      <c r="G51" s="108">
        <f t="shared" si="20"/>
        <v>0</v>
      </c>
      <c r="H51" s="108">
        <f t="shared" si="20"/>
        <v>0</v>
      </c>
      <c r="I51" s="108">
        <f t="shared" si="20"/>
        <v>0</v>
      </c>
      <c r="J51" s="108">
        <f t="shared" si="20"/>
        <v>0</v>
      </c>
      <c r="K51" s="108">
        <f t="shared" si="20"/>
        <v>0</v>
      </c>
      <c r="L51" s="108">
        <f t="shared" si="20"/>
        <v>0</v>
      </c>
      <c r="M51" s="108">
        <f t="shared" si="20"/>
        <v>0</v>
      </c>
      <c r="N51" s="108">
        <f t="shared" si="20"/>
        <v>0</v>
      </c>
      <c r="O51" s="108">
        <f t="shared" si="20"/>
        <v>0</v>
      </c>
      <c r="P51" s="108">
        <f t="shared" si="20"/>
        <v>1370851.7435346146</v>
      </c>
      <c r="Q51" s="108">
        <f t="shared" si="20"/>
        <v>0</v>
      </c>
      <c r="R51" s="108">
        <f t="shared" si="20"/>
        <v>0</v>
      </c>
      <c r="S51" s="108">
        <f t="shared" si="20"/>
        <v>0</v>
      </c>
      <c r="T51" s="108">
        <f t="shared" si="20"/>
        <v>1370851.7435346146</v>
      </c>
    </row>
    <row r="52" spans="1:20">
      <c r="A52" s="64">
        <v>42</v>
      </c>
      <c r="B52" s="17"/>
      <c r="C52" s="42"/>
      <c r="D52" s="94"/>
      <c r="E52" s="94"/>
      <c r="F52" s="94"/>
      <c r="G52" s="94"/>
      <c r="H52" s="94"/>
      <c r="I52" s="94"/>
      <c r="J52" s="94"/>
      <c r="K52" s="94"/>
      <c r="L52" s="94"/>
      <c r="M52" s="94"/>
      <c r="N52" s="94"/>
      <c r="O52" s="94"/>
    </row>
    <row r="53" spans="1:20">
      <c r="A53" s="42">
        <v>43</v>
      </c>
      <c r="B53" s="17" t="s">
        <v>98</v>
      </c>
      <c r="C53" s="42" t="str">
        <f>"Σ(("&amp;A$47&amp;"), ("&amp;A48&amp;"), ("&amp;A50&amp;"))"</f>
        <v>Σ((37), (38), (40))</v>
      </c>
      <c r="D53" s="93">
        <f>D47+D48+D50</f>
        <v>129326.11815088552</v>
      </c>
      <c r="E53" s="93">
        <f>D53+E47+E48+E50</f>
        <v>856556.31894397864</v>
      </c>
      <c r="F53" s="93">
        <f t="shared" ref="F53:O53" si="21">E53+F47+F48+F50</f>
        <v>1370851.7435346148</v>
      </c>
      <c r="G53" s="93">
        <f t="shared" si="21"/>
        <v>1370851.7435346148</v>
      </c>
      <c r="H53" s="93">
        <f t="shared" si="21"/>
        <v>1370851.7435346148</v>
      </c>
      <c r="I53" s="93">
        <f t="shared" si="21"/>
        <v>1370851.7435346148</v>
      </c>
      <c r="J53" s="93">
        <f t="shared" si="21"/>
        <v>1370851.7435346148</v>
      </c>
      <c r="K53" s="93">
        <f t="shared" si="21"/>
        <v>1370851.7435346148</v>
      </c>
      <c r="L53" s="93">
        <f t="shared" si="21"/>
        <v>1370851.7435346148</v>
      </c>
      <c r="M53" s="93">
        <f t="shared" si="21"/>
        <v>1370851.7435346148</v>
      </c>
      <c r="N53" s="93">
        <f t="shared" si="21"/>
        <v>1370851.7435346148</v>
      </c>
      <c r="O53" s="93">
        <f t="shared" si="21"/>
        <v>1370851.7435346148</v>
      </c>
    </row>
    <row r="54" spans="1:20">
      <c r="A54" s="42"/>
      <c r="B54" s="17"/>
      <c r="C54" s="42"/>
      <c r="D54" s="93"/>
      <c r="E54" s="93"/>
      <c r="F54" s="93"/>
      <c r="G54" s="93"/>
      <c r="H54" s="93"/>
      <c r="I54" s="93"/>
      <c r="J54" s="93"/>
      <c r="K54" s="93"/>
      <c r="L54" s="93"/>
      <c r="M54" s="93"/>
      <c r="N54" s="93"/>
      <c r="O54" s="109"/>
    </row>
    <row r="55" spans="1:20">
      <c r="A55" s="42"/>
      <c r="B55" s="1" t="s">
        <v>26</v>
      </c>
      <c r="C55" s="42"/>
      <c r="D55" s="93"/>
      <c r="E55" s="93"/>
      <c r="F55" s="93"/>
      <c r="G55" s="93"/>
      <c r="H55" s="93"/>
      <c r="I55" s="93"/>
      <c r="J55" s="93"/>
      <c r="K55" s="93"/>
      <c r="L55" s="93"/>
      <c r="M55" s="93"/>
      <c r="N55" s="93"/>
      <c r="O55" s="93"/>
    </row>
    <row r="56" spans="1:20">
      <c r="A56" s="42"/>
      <c r="B56" s="1"/>
      <c r="C56" s="42"/>
      <c r="D56" s="93"/>
      <c r="E56" s="93"/>
      <c r="F56" s="93"/>
      <c r="G56" s="93"/>
      <c r="H56" s="93"/>
      <c r="I56" s="93"/>
      <c r="J56" s="93"/>
      <c r="K56" s="93"/>
      <c r="L56" s="93"/>
      <c r="M56" s="93"/>
      <c r="N56" s="93"/>
      <c r="O56" s="93"/>
    </row>
    <row r="57" spans="1:20">
      <c r="A57" s="42">
        <v>1</v>
      </c>
      <c r="B57" s="17" t="s">
        <v>74</v>
      </c>
      <c r="C57" s="42" t="s">
        <v>75</v>
      </c>
      <c r="D57" s="121">
        <v>1411</v>
      </c>
      <c r="E57" s="121">
        <v>1416</v>
      </c>
      <c r="F57" s="121">
        <v>1430</v>
      </c>
      <c r="G57" s="121"/>
      <c r="H57" s="121"/>
      <c r="I57" s="121"/>
      <c r="J57" s="121"/>
      <c r="K57" s="121"/>
      <c r="L57" s="121"/>
      <c r="M57" s="121"/>
      <c r="N57" s="121"/>
      <c r="O57" s="121"/>
    </row>
    <row r="58" spans="1:20">
      <c r="A58" s="42">
        <v>2</v>
      </c>
      <c r="B58" s="17" t="s">
        <v>118</v>
      </c>
      <c r="C58" s="42" t="s">
        <v>75</v>
      </c>
      <c r="D58" s="121">
        <v>2846717</v>
      </c>
      <c r="E58" s="121">
        <v>2341568</v>
      </c>
      <c r="F58" s="121">
        <v>2149728</v>
      </c>
      <c r="G58" s="121"/>
      <c r="H58" s="121"/>
      <c r="I58" s="121"/>
      <c r="J58" s="121"/>
      <c r="K58" s="121"/>
      <c r="L58" s="121"/>
      <c r="M58" s="121"/>
      <c r="N58" s="121"/>
      <c r="O58" s="121"/>
    </row>
    <row r="59" spans="1:20">
      <c r="A59" s="42">
        <v>3</v>
      </c>
      <c r="B59" s="17" t="s">
        <v>77</v>
      </c>
      <c r="C59" s="42" t="s">
        <v>75</v>
      </c>
      <c r="D59" s="122">
        <v>823502.34704999998</v>
      </c>
      <c r="E59" s="122">
        <v>706758.38861999998</v>
      </c>
      <c r="F59" s="122">
        <v>646144.38504000008</v>
      </c>
      <c r="G59" s="122"/>
      <c r="H59" s="122"/>
      <c r="I59" s="122"/>
      <c r="J59" s="122"/>
      <c r="K59" s="122"/>
      <c r="L59" s="122"/>
      <c r="M59" s="122"/>
      <c r="N59" s="122"/>
      <c r="O59" s="122"/>
    </row>
    <row r="60" spans="1:20">
      <c r="A60" s="42">
        <v>4</v>
      </c>
      <c r="B60" s="17" t="s">
        <v>78</v>
      </c>
      <c r="C60" s="42" t="s">
        <v>75</v>
      </c>
      <c r="D60" s="122">
        <v>138162.63</v>
      </c>
      <c r="E60" s="122">
        <v>142689.02000000002</v>
      </c>
      <c r="F60" s="122">
        <v>144144.59999999998</v>
      </c>
      <c r="G60" s="122"/>
      <c r="H60" s="122"/>
      <c r="I60" s="122"/>
      <c r="J60" s="122"/>
      <c r="K60" s="122"/>
      <c r="L60" s="122"/>
      <c r="M60" s="122"/>
      <c r="N60" s="122"/>
      <c r="O60" s="122"/>
    </row>
    <row r="61" spans="1:20">
      <c r="A61" s="42">
        <v>5</v>
      </c>
      <c r="B61" s="17"/>
      <c r="C61" s="42"/>
      <c r="D61" s="93"/>
      <c r="E61" s="93"/>
      <c r="F61" s="93"/>
      <c r="G61" s="93"/>
      <c r="H61" s="93"/>
      <c r="I61" s="93"/>
      <c r="J61" s="93"/>
      <c r="K61" s="93"/>
      <c r="L61" s="93"/>
      <c r="M61" s="93"/>
      <c r="N61" s="93"/>
      <c r="O61" s="93"/>
    </row>
    <row r="62" spans="1:20">
      <c r="A62" s="42">
        <v>6</v>
      </c>
      <c r="B62" s="86" t="str">
        <f t="shared" ref="B62" si="22">B16</f>
        <v>Existing Customers</v>
      </c>
      <c r="C62" s="42"/>
      <c r="D62" s="93"/>
      <c r="E62" s="93"/>
      <c r="F62" s="93"/>
      <c r="G62" s="93"/>
      <c r="H62" s="93"/>
      <c r="I62" s="93"/>
      <c r="J62" s="93"/>
      <c r="K62" s="93"/>
      <c r="L62" s="93"/>
      <c r="M62" s="93"/>
      <c r="N62" s="93"/>
      <c r="O62" s="93"/>
    </row>
    <row r="63" spans="1:20">
      <c r="A63" s="42">
        <v>7</v>
      </c>
      <c r="B63" s="17" t="str">
        <f>B17</f>
        <v>Actual Customers on System During Test Year</v>
      </c>
      <c r="C63" s="42" t="str">
        <f>C17</f>
        <v>(1) - (22)</v>
      </c>
      <c r="D63" s="89">
        <f>D57-D78</f>
        <v>1393</v>
      </c>
      <c r="E63" s="89">
        <f t="shared" ref="E63:O63" si="23">E57-E78</f>
        <v>1399</v>
      </c>
      <c r="F63" s="89">
        <f t="shared" si="23"/>
        <v>1412</v>
      </c>
      <c r="G63" s="89">
        <f t="shared" si="23"/>
        <v>0</v>
      </c>
      <c r="H63" s="89">
        <f t="shared" si="23"/>
        <v>0</v>
      </c>
      <c r="I63" s="89">
        <f t="shared" si="23"/>
        <v>0</v>
      </c>
      <c r="J63" s="89">
        <f t="shared" si="23"/>
        <v>0</v>
      </c>
      <c r="K63" s="89">
        <f t="shared" si="23"/>
        <v>0</v>
      </c>
      <c r="L63" s="89">
        <f t="shared" si="23"/>
        <v>0</v>
      </c>
      <c r="M63" s="89">
        <f t="shared" si="23"/>
        <v>0</v>
      </c>
      <c r="N63" s="89">
        <f t="shared" si="23"/>
        <v>0</v>
      </c>
      <c r="O63" s="89">
        <f t="shared" si="23"/>
        <v>0</v>
      </c>
      <c r="P63" s="43">
        <f>SUM(D63:F63)</f>
        <v>4204</v>
      </c>
      <c r="Q63" s="43">
        <f>SUM(G63:I63)</f>
        <v>0</v>
      </c>
      <c r="R63" s="43">
        <f>SUM(J63:L63)</f>
        <v>0</v>
      </c>
      <c r="S63" s="43">
        <f>SUM(M63:O63)</f>
        <v>0</v>
      </c>
      <c r="T63" s="43">
        <f>SUM(D63:O63)</f>
        <v>4204</v>
      </c>
    </row>
    <row r="64" spans="1:20">
      <c r="A64" s="90">
        <v>8</v>
      </c>
      <c r="B64" s="17" t="str">
        <f t="shared" ref="B64:C79" si="24">B18</f>
        <v>Monthly Fixed Cost Adj. Revenue per Customer</v>
      </c>
      <c r="C64" s="42" t="str">
        <f t="shared" si="24"/>
        <v>Page 3</v>
      </c>
      <c r="D64" s="91">
        <v>502.94424135382826</v>
      </c>
      <c r="E64" s="91">
        <v>448.14092029270279</v>
      </c>
      <c r="F64" s="91">
        <v>403.09698078062956</v>
      </c>
      <c r="G64" s="91">
        <v>278.74717583648373</v>
      </c>
      <c r="H64" s="91">
        <v>200.4996725714629</v>
      </c>
      <c r="I64" s="91">
        <v>210.35237663624716</v>
      </c>
      <c r="J64" s="91">
        <v>148.83750255122652</v>
      </c>
      <c r="K64" s="91">
        <v>175.32266092772522</v>
      </c>
      <c r="L64" s="91">
        <v>153.93451079245727</v>
      </c>
      <c r="M64" s="91">
        <v>332.25964419748379</v>
      </c>
      <c r="N64" s="91">
        <v>411.65214294398595</v>
      </c>
      <c r="O64" s="91">
        <v>478.17217111576696</v>
      </c>
      <c r="P64" s="82">
        <f>P65/P63</f>
        <v>451.17112572731276</v>
      </c>
      <c r="Q64" s="82" t="e">
        <f>Q65/Q63</f>
        <v>#DIV/0!</v>
      </c>
      <c r="R64" s="82" t="e">
        <f>R65/R63</f>
        <v>#DIV/0!</v>
      </c>
      <c r="S64" s="82" t="e">
        <f>S65/S63</f>
        <v>#DIV/0!</v>
      </c>
      <c r="T64" s="82">
        <f>T65/T63</f>
        <v>451.17112572731276</v>
      </c>
    </row>
    <row r="65" spans="1:20">
      <c r="A65" s="42">
        <v>9</v>
      </c>
      <c r="B65" s="17" t="str">
        <f t="shared" si="24"/>
        <v>Fixed Cost Adjustment Revenue</v>
      </c>
      <c r="C65" s="42" t="str">
        <f t="shared" si="24"/>
        <v>(7) x (8)</v>
      </c>
      <c r="D65" s="93">
        <f t="shared" ref="D65:O65" si="25">D63*D64</f>
        <v>700601.3282058828</v>
      </c>
      <c r="E65" s="93">
        <f t="shared" si="25"/>
        <v>626949.14748949115</v>
      </c>
      <c r="F65" s="93">
        <f t="shared" si="25"/>
        <v>569172.93686224893</v>
      </c>
      <c r="G65" s="93">
        <f t="shared" si="25"/>
        <v>0</v>
      </c>
      <c r="H65" s="93">
        <f t="shared" si="25"/>
        <v>0</v>
      </c>
      <c r="I65" s="93">
        <f t="shared" si="25"/>
        <v>0</v>
      </c>
      <c r="J65" s="93">
        <f t="shared" si="25"/>
        <v>0</v>
      </c>
      <c r="K65" s="93">
        <f t="shared" si="25"/>
        <v>0</v>
      </c>
      <c r="L65" s="93">
        <f t="shared" si="25"/>
        <v>0</v>
      </c>
      <c r="M65" s="93">
        <f t="shared" si="25"/>
        <v>0</v>
      </c>
      <c r="N65" s="93">
        <f t="shared" si="25"/>
        <v>0</v>
      </c>
      <c r="O65" s="93">
        <f t="shared" si="25"/>
        <v>0</v>
      </c>
      <c r="P65" s="44">
        <f>SUM(D65:F65)</f>
        <v>1896723.4125576229</v>
      </c>
      <c r="Q65" s="44">
        <f>SUM(G65:I65)</f>
        <v>0</v>
      </c>
      <c r="R65" s="44">
        <f>SUM(J65:L65)</f>
        <v>0</v>
      </c>
      <c r="S65" s="44">
        <f>SUM(M65:O65)</f>
        <v>0</v>
      </c>
      <c r="T65" s="44">
        <f>SUM(D65:O65)</f>
        <v>1896723.4125576229</v>
      </c>
    </row>
    <row r="66" spans="1:20">
      <c r="A66" s="42">
        <v>10</v>
      </c>
      <c r="B66" s="17"/>
      <c r="C66" s="42"/>
      <c r="D66" s="94"/>
      <c r="E66" s="94"/>
      <c r="F66" s="94"/>
      <c r="G66" s="94"/>
      <c r="H66" s="94"/>
      <c r="I66" s="94"/>
      <c r="J66" s="94"/>
      <c r="K66" s="94"/>
      <c r="L66" s="94"/>
      <c r="M66" s="94"/>
      <c r="N66" s="94"/>
      <c r="O66" s="94"/>
    </row>
    <row r="67" spans="1:20">
      <c r="A67" s="42">
        <v>11</v>
      </c>
      <c r="B67" s="17" t="str">
        <f t="shared" si="24"/>
        <v>Actual Base Rate Revenue</v>
      </c>
      <c r="C67" s="42" t="str">
        <f t="shared" si="24"/>
        <v>(3) - (26)</v>
      </c>
      <c r="D67" s="93">
        <f>D59-D82</f>
        <v>810125.50705000001</v>
      </c>
      <c r="E67" s="93">
        <f t="shared" ref="E67:O68" si="26">E59-E82</f>
        <v>696225.17862000002</v>
      </c>
      <c r="F67" s="93">
        <f t="shared" si="26"/>
        <v>632509.2850400001</v>
      </c>
      <c r="G67" s="93">
        <f t="shared" si="26"/>
        <v>0</v>
      </c>
      <c r="H67" s="93">
        <f t="shared" si="26"/>
        <v>0</v>
      </c>
      <c r="I67" s="93">
        <f t="shared" si="26"/>
        <v>0</v>
      </c>
      <c r="J67" s="93">
        <f t="shared" si="26"/>
        <v>0</v>
      </c>
      <c r="K67" s="93">
        <f t="shared" si="26"/>
        <v>0</v>
      </c>
      <c r="L67" s="93">
        <f t="shared" si="26"/>
        <v>0</v>
      </c>
      <c r="M67" s="93">
        <f t="shared" si="26"/>
        <v>0</v>
      </c>
      <c r="N67" s="93">
        <f t="shared" si="26"/>
        <v>0</v>
      </c>
      <c r="O67" s="93">
        <f t="shared" si="26"/>
        <v>0</v>
      </c>
    </row>
    <row r="68" spans="1:20">
      <c r="A68" s="42">
        <v>12</v>
      </c>
      <c r="B68" s="17" t="str">
        <f t="shared" si="24"/>
        <v>Actual Fixed Charge Revenue</v>
      </c>
      <c r="C68" s="42" t="str">
        <f t="shared" si="24"/>
        <v>(4) - (27)</v>
      </c>
      <c r="D68" s="93">
        <f>D60-D83</f>
        <v>136349.13</v>
      </c>
      <c r="E68" s="93">
        <f t="shared" si="26"/>
        <v>140976.27000000002</v>
      </c>
      <c r="F68" s="93">
        <f t="shared" si="26"/>
        <v>142331.09999999998</v>
      </c>
      <c r="G68" s="93">
        <f t="shared" si="26"/>
        <v>0</v>
      </c>
      <c r="H68" s="93">
        <f t="shared" si="26"/>
        <v>0</v>
      </c>
      <c r="I68" s="93">
        <f t="shared" si="26"/>
        <v>0</v>
      </c>
      <c r="J68" s="93">
        <f t="shared" si="26"/>
        <v>0</v>
      </c>
      <c r="K68" s="93">
        <f t="shared" si="26"/>
        <v>0</v>
      </c>
      <c r="L68" s="93">
        <f t="shared" si="26"/>
        <v>0</v>
      </c>
      <c r="M68" s="93">
        <f t="shared" si="26"/>
        <v>0</v>
      </c>
      <c r="N68" s="93">
        <f t="shared" si="26"/>
        <v>0</v>
      </c>
      <c r="O68" s="93">
        <f t="shared" si="26"/>
        <v>0</v>
      </c>
    </row>
    <row r="69" spans="1:20">
      <c r="A69" s="42">
        <v>13</v>
      </c>
      <c r="B69" s="17" t="str">
        <f t="shared" si="24"/>
        <v>Actual Usage (Therms)</v>
      </c>
      <c r="C69" s="42" t="str">
        <f t="shared" si="24"/>
        <v>(2) - (28)</v>
      </c>
      <c r="D69" s="89">
        <f>D58-D84</f>
        <v>2811724</v>
      </c>
      <c r="E69" s="89">
        <f t="shared" ref="E69:O69" si="27">E58-E84</f>
        <v>2314794</v>
      </c>
      <c r="F69" s="89">
        <f t="shared" si="27"/>
        <v>2109170</v>
      </c>
      <c r="G69" s="89">
        <f t="shared" si="27"/>
        <v>0</v>
      </c>
      <c r="H69" s="89">
        <f t="shared" si="27"/>
        <v>0</v>
      </c>
      <c r="I69" s="89">
        <f t="shared" si="27"/>
        <v>0</v>
      </c>
      <c r="J69" s="89">
        <f t="shared" si="27"/>
        <v>0</v>
      </c>
      <c r="K69" s="89">
        <f t="shared" si="27"/>
        <v>0</v>
      </c>
      <c r="L69" s="89">
        <f t="shared" si="27"/>
        <v>0</v>
      </c>
      <c r="M69" s="89">
        <f t="shared" si="27"/>
        <v>0</v>
      </c>
      <c r="N69" s="89">
        <f t="shared" si="27"/>
        <v>0</v>
      </c>
      <c r="O69" s="89">
        <f t="shared" si="27"/>
        <v>0</v>
      </c>
    </row>
    <row r="70" spans="1:20">
      <c r="A70" s="42">
        <v>14</v>
      </c>
      <c r="B70" s="17"/>
      <c r="C70" s="42"/>
      <c r="D70" s="95"/>
      <c r="E70" s="95"/>
      <c r="F70" s="95"/>
      <c r="G70" s="95"/>
      <c r="H70" s="95"/>
      <c r="I70" s="95"/>
      <c r="J70" s="95"/>
      <c r="K70" s="95"/>
      <c r="L70" s="95"/>
      <c r="M70" s="95"/>
      <c r="N70" s="95"/>
      <c r="O70" s="95"/>
    </row>
    <row r="71" spans="1:20">
      <c r="A71" s="42">
        <v>15</v>
      </c>
      <c r="B71" s="17"/>
      <c r="C71" s="42"/>
      <c r="D71" s="93"/>
      <c r="E71" s="93"/>
      <c r="F71" s="93"/>
      <c r="G71" s="93"/>
      <c r="H71" s="93"/>
      <c r="I71" s="93"/>
      <c r="J71" s="93"/>
      <c r="K71" s="93"/>
      <c r="L71" s="93"/>
      <c r="M71" s="93"/>
      <c r="N71" s="93"/>
      <c r="O71" s="93"/>
    </row>
    <row r="72" spans="1:20">
      <c r="A72" s="42">
        <v>16</v>
      </c>
      <c r="B72" s="17" t="str">
        <f t="shared" si="24"/>
        <v>Customer Fixed Cost Adjustment Revenue</v>
      </c>
      <c r="C72" s="42" t="str">
        <f t="shared" si="24"/>
        <v>(11) - (12) -(15)</v>
      </c>
      <c r="D72" s="93">
        <f>D67-D68-D71</f>
        <v>673776.37705000001</v>
      </c>
      <c r="E72" s="93">
        <f t="shared" ref="E72:O72" si="28">E67-E68-E71</f>
        <v>555248.90862</v>
      </c>
      <c r="F72" s="93">
        <f t="shared" si="28"/>
        <v>490178.18504000013</v>
      </c>
      <c r="G72" s="93">
        <f t="shared" si="28"/>
        <v>0</v>
      </c>
      <c r="H72" s="93">
        <f t="shared" si="28"/>
        <v>0</v>
      </c>
      <c r="I72" s="93">
        <f t="shared" si="28"/>
        <v>0</v>
      </c>
      <c r="J72" s="93">
        <f t="shared" si="28"/>
        <v>0</v>
      </c>
      <c r="K72" s="93">
        <f t="shared" si="28"/>
        <v>0</v>
      </c>
      <c r="L72" s="93">
        <f t="shared" si="28"/>
        <v>0</v>
      </c>
      <c r="M72" s="93">
        <f t="shared" si="28"/>
        <v>0</v>
      </c>
      <c r="N72" s="93">
        <f t="shared" si="28"/>
        <v>0</v>
      </c>
      <c r="O72" s="93">
        <f t="shared" si="28"/>
        <v>0</v>
      </c>
      <c r="P72" s="44">
        <f>SUM(D72:F72)</f>
        <v>1719203.4707100003</v>
      </c>
      <c r="Q72" s="44">
        <f>SUM(G72:I72)</f>
        <v>0</v>
      </c>
      <c r="R72" s="44">
        <f>SUM(J72:L72)</f>
        <v>0</v>
      </c>
      <c r="S72" s="44">
        <f>SUM(M72:O72)</f>
        <v>0</v>
      </c>
      <c r="T72" s="44">
        <f>SUM(D72:O72)</f>
        <v>1719203.4707100003</v>
      </c>
    </row>
    <row r="73" spans="1:20">
      <c r="A73" s="42">
        <v>17</v>
      </c>
      <c r="B73" s="3" t="s">
        <v>27</v>
      </c>
      <c r="C73" s="42"/>
      <c r="D73" s="112">
        <f>D72/D63</f>
        <v>483.68727713567841</v>
      </c>
      <c r="E73" s="112">
        <f t="shared" ref="E73:O73" si="29">E72/E63</f>
        <v>396.88985605432453</v>
      </c>
      <c r="F73" s="112">
        <f t="shared" si="29"/>
        <v>347.15168912181315</v>
      </c>
      <c r="G73" s="112" t="e">
        <f t="shared" si="29"/>
        <v>#DIV/0!</v>
      </c>
      <c r="H73" s="112" t="e">
        <f t="shared" si="29"/>
        <v>#DIV/0!</v>
      </c>
      <c r="I73" s="112" t="e">
        <f t="shared" si="29"/>
        <v>#DIV/0!</v>
      </c>
      <c r="J73" s="112" t="e">
        <f t="shared" si="29"/>
        <v>#DIV/0!</v>
      </c>
      <c r="K73" s="112" t="e">
        <f t="shared" si="29"/>
        <v>#DIV/0!</v>
      </c>
      <c r="L73" s="112" t="e">
        <f t="shared" si="29"/>
        <v>#DIV/0!</v>
      </c>
      <c r="M73" s="112" t="e">
        <f t="shared" si="29"/>
        <v>#DIV/0!</v>
      </c>
      <c r="N73" s="112" t="e">
        <f t="shared" si="29"/>
        <v>#DIV/0!</v>
      </c>
      <c r="O73" s="112" t="e">
        <f t="shared" si="29"/>
        <v>#DIV/0!</v>
      </c>
      <c r="P73" s="82">
        <f>P72/P63</f>
        <v>408.94468856089446</v>
      </c>
      <c r="Q73" s="82" t="e">
        <f t="shared" ref="Q73:T73" si="30">Q72/Q63</f>
        <v>#DIV/0!</v>
      </c>
      <c r="R73" s="82" t="e">
        <f t="shared" si="30"/>
        <v>#DIV/0!</v>
      </c>
      <c r="S73" s="82" t="e">
        <f t="shared" si="30"/>
        <v>#DIV/0!</v>
      </c>
      <c r="T73" s="82">
        <f t="shared" si="30"/>
        <v>408.94468856089446</v>
      </c>
    </row>
    <row r="74" spans="1:20">
      <c r="A74" s="42">
        <v>18</v>
      </c>
      <c r="B74" s="17" t="str">
        <f t="shared" si="24"/>
        <v>Existing Customer Deferral - Surcharge (Rebate)</v>
      </c>
      <c r="C74" s="42" t="str">
        <f t="shared" si="24"/>
        <v>(9) - (16)</v>
      </c>
      <c r="D74" s="93">
        <f>D65-D72</f>
        <v>26824.951155882794</v>
      </c>
      <c r="E74" s="93">
        <f t="shared" ref="E74:O74" si="31">E65-E72</f>
        <v>71700.23886949115</v>
      </c>
      <c r="F74" s="93">
        <f t="shared" si="31"/>
        <v>78994.7518222488</v>
      </c>
      <c r="G74" s="93">
        <f t="shared" si="31"/>
        <v>0</v>
      </c>
      <c r="H74" s="93">
        <f t="shared" si="31"/>
        <v>0</v>
      </c>
      <c r="I74" s="93">
        <f t="shared" si="31"/>
        <v>0</v>
      </c>
      <c r="J74" s="93">
        <f t="shared" si="31"/>
        <v>0</v>
      </c>
      <c r="K74" s="93">
        <f t="shared" si="31"/>
        <v>0</v>
      </c>
      <c r="L74" s="93">
        <f t="shared" si="31"/>
        <v>0</v>
      </c>
      <c r="M74" s="93">
        <f t="shared" si="31"/>
        <v>0</v>
      </c>
      <c r="N74" s="93">
        <f t="shared" si="31"/>
        <v>0</v>
      </c>
      <c r="O74" s="93">
        <f t="shared" si="31"/>
        <v>0</v>
      </c>
      <c r="P74" s="44">
        <f>SUM(D74:F74)</f>
        <v>177519.94184762274</v>
      </c>
      <c r="Q74" s="44">
        <f>SUM(G74:I74)</f>
        <v>0</v>
      </c>
      <c r="R74" s="44">
        <f>SUM(J74:L74)</f>
        <v>0</v>
      </c>
      <c r="S74" s="44">
        <f>SUM(M74:O74)</f>
        <v>0</v>
      </c>
      <c r="T74" s="44">
        <f>SUM(D74:O74)</f>
        <v>177519.94184762274</v>
      </c>
    </row>
    <row r="75" spans="1:20">
      <c r="A75" s="42">
        <v>19</v>
      </c>
      <c r="B75" s="17"/>
      <c r="C75" s="42"/>
      <c r="D75" s="93"/>
      <c r="E75" s="93"/>
      <c r="F75" s="93"/>
      <c r="G75" s="93"/>
      <c r="H75" s="93"/>
      <c r="I75" s="93"/>
      <c r="J75" s="93"/>
      <c r="K75" s="93"/>
      <c r="L75" s="93"/>
      <c r="M75" s="93"/>
      <c r="N75" s="93"/>
      <c r="O75" s="93"/>
    </row>
    <row r="76" spans="1:20" ht="14.45" customHeight="1">
      <c r="A76" s="42">
        <v>20</v>
      </c>
      <c r="B76" s="17"/>
      <c r="C76" s="42"/>
      <c r="D76" s="93"/>
      <c r="E76" s="93"/>
      <c r="F76" s="93"/>
      <c r="G76" s="93"/>
      <c r="H76" s="93"/>
      <c r="I76" s="93"/>
      <c r="J76" s="93"/>
      <c r="K76" s="93"/>
      <c r="L76" s="93"/>
      <c r="M76" s="93"/>
      <c r="N76" s="93"/>
      <c r="O76" s="93"/>
    </row>
    <row r="77" spans="1:20">
      <c r="A77" s="42">
        <v>21</v>
      </c>
      <c r="B77" s="86" t="str">
        <f t="shared" ref="B77:C91" si="32">B31</f>
        <v>New Customers</v>
      </c>
      <c r="C77" s="42"/>
      <c r="D77" s="93"/>
      <c r="E77" s="93"/>
      <c r="F77" s="93"/>
      <c r="G77" s="93"/>
      <c r="H77" s="93"/>
      <c r="I77" s="93"/>
      <c r="J77" s="93"/>
      <c r="K77" s="93"/>
      <c r="L77" s="93"/>
      <c r="M77" s="93"/>
      <c r="N77" s="93"/>
      <c r="O77" s="93"/>
    </row>
    <row r="78" spans="1:20">
      <c r="A78" s="42">
        <v>22</v>
      </c>
      <c r="B78" s="17" t="str">
        <f t="shared" si="32"/>
        <v>Actual Customers New Since Test Year</v>
      </c>
      <c r="C78" s="42" t="str">
        <f t="shared" si="24"/>
        <v>Revenue Reports</v>
      </c>
      <c r="D78" s="121">
        <v>18</v>
      </c>
      <c r="E78" s="121">
        <v>17</v>
      </c>
      <c r="F78" s="121">
        <v>18</v>
      </c>
      <c r="G78" s="121"/>
      <c r="H78" s="121"/>
      <c r="I78" s="121"/>
      <c r="J78" s="121"/>
      <c r="K78" s="121"/>
      <c r="L78" s="121"/>
      <c r="M78" s="121"/>
      <c r="N78" s="121"/>
      <c r="O78" s="121"/>
      <c r="P78" s="43">
        <f>SUM(D78:F78)</f>
        <v>53</v>
      </c>
      <c r="Q78" s="43">
        <f>SUM(G78:I78)</f>
        <v>0</v>
      </c>
      <c r="R78" s="43">
        <f>SUM(J78:L78)</f>
        <v>0</v>
      </c>
      <c r="S78" s="43">
        <f>SUM(M78:O78)</f>
        <v>0</v>
      </c>
      <c r="T78" s="43">
        <f>SUM(D78:O78)</f>
        <v>53</v>
      </c>
    </row>
    <row r="79" spans="1:20">
      <c r="A79" s="42">
        <v>23</v>
      </c>
      <c r="B79" s="17" t="str">
        <f t="shared" si="32"/>
        <v>Monthly Fixed Cost Adj. Revenue per Customer</v>
      </c>
      <c r="C79" s="42" t="str">
        <f t="shared" si="24"/>
        <v>Page 3</v>
      </c>
      <c r="D79" s="91">
        <v>436.2832671748813</v>
      </c>
      <c r="E79" s="91">
        <v>388.74365940400526</v>
      </c>
      <c r="F79" s="91">
        <v>349.6699103063799</v>
      </c>
      <c r="G79" s="91">
        <v>241.80161256515117</v>
      </c>
      <c r="H79" s="91">
        <v>173.92514920045011</v>
      </c>
      <c r="I79" s="91">
        <v>182.47196128506687</v>
      </c>
      <c r="J79" s="91">
        <v>129.1103596621478</v>
      </c>
      <c r="K79" s="91">
        <v>152.08513594557661</v>
      </c>
      <c r="L79" s="91">
        <v>133.53180288677959</v>
      </c>
      <c r="M79" s="91">
        <v>288.2214591634243</v>
      </c>
      <c r="N79" s="91">
        <v>357.09115861373294</v>
      </c>
      <c r="O79" s="91">
        <v>414.79452379240422</v>
      </c>
      <c r="P79" s="82">
        <f>P80/P78</f>
        <v>391.61885668926027</v>
      </c>
      <c r="Q79" s="82" t="e">
        <f>Q80/Q78</f>
        <v>#DIV/0!</v>
      </c>
      <c r="R79" s="82" t="e">
        <f>R80/R78</f>
        <v>#DIV/0!</v>
      </c>
      <c r="S79" s="82" t="e">
        <f>S80/S78</f>
        <v>#DIV/0!</v>
      </c>
      <c r="T79" s="82">
        <f>T80/T78</f>
        <v>391.61885668926027</v>
      </c>
    </row>
    <row r="80" spans="1:20">
      <c r="A80" s="42">
        <v>24</v>
      </c>
      <c r="B80" s="17" t="str">
        <f t="shared" si="32"/>
        <v>Fixed Cost Adjustment Revenue</v>
      </c>
      <c r="C80" s="42" t="str">
        <f t="shared" si="32"/>
        <v>(22) x (23)</v>
      </c>
      <c r="D80" s="93">
        <f t="shared" ref="D80:O80" si="33">D78*D79</f>
        <v>7853.098809147863</v>
      </c>
      <c r="E80" s="93">
        <f t="shared" si="33"/>
        <v>6608.6422098680896</v>
      </c>
      <c r="F80" s="93">
        <f t="shared" si="33"/>
        <v>6294.0583855148379</v>
      </c>
      <c r="G80" s="93">
        <f t="shared" si="33"/>
        <v>0</v>
      </c>
      <c r="H80" s="93">
        <f t="shared" si="33"/>
        <v>0</v>
      </c>
      <c r="I80" s="93">
        <f t="shared" si="33"/>
        <v>0</v>
      </c>
      <c r="J80" s="93">
        <f t="shared" si="33"/>
        <v>0</v>
      </c>
      <c r="K80" s="93">
        <f t="shared" si="33"/>
        <v>0</v>
      </c>
      <c r="L80" s="93">
        <f t="shared" si="33"/>
        <v>0</v>
      </c>
      <c r="M80" s="93">
        <f t="shared" si="33"/>
        <v>0</v>
      </c>
      <c r="N80" s="93">
        <f t="shared" si="33"/>
        <v>0</v>
      </c>
      <c r="O80" s="93">
        <f t="shared" si="33"/>
        <v>0</v>
      </c>
      <c r="P80" s="44">
        <f>SUM(D80:F80)</f>
        <v>20755.799404530793</v>
      </c>
      <c r="Q80" s="44">
        <f>SUM(G80:I80)</f>
        <v>0</v>
      </c>
      <c r="R80" s="44">
        <f>SUM(J80:L80)</f>
        <v>0</v>
      </c>
      <c r="S80" s="44">
        <f>SUM(M80:O80)</f>
        <v>0</v>
      </c>
      <c r="T80" s="44">
        <f>SUM(D80:O80)</f>
        <v>20755.799404530793</v>
      </c>
    </row>
    <row r="81" spans="1:20">
      <c r="A81" s="42">
        <v>25</v>
      </c>
      <c r="B81" s="17"/>
      <c r="C81" s="42"/>
      <c r="D81" s="94"/>
      <c r="E81" s="94"/>
      <c r="F81" s="94"/>
      <c r="G81" s="94"/>
      <c r="H81" s="94"/>
      <c r="I81" s="94"/>
      <c r="J81" s="94"/>
      <c r="K81" s="94"/>
      <c r="L81" s="94"/>
      <c r="M81" s="94"/>
      <c r="N81" s="94"/>
      <c r="O81" s="94"/>
    </row>
    <row r="82" spans="1:20">
      <c r="A82" s="42">
        <v>26</v>
      </c>
      <c r="B82" s="17" t="str">
        <f t="shared" ref="B82:B84" si="34">B36</f>
        <v>Actual Base Rate Revenue</v>
      </c>
      <c r="C82" s="42" t="str">
        <f t="shared" si="32"/>
        <v>Revenue Reports</v>
      </c>
      <c r="D82" s="122">
        <v>13376.84</v>
      </c>
      <c r="E82" s="122">
        <v>10533.21</v>
      </c>
      <c r="F82" s="122">
        <v>13635.1</v>
      </c>
      <c r="G82" s="122"/>
      <c r="H82" s="122"/>
      <c r="I82" s="122"/>
      <c r="J82" s="122"/>
      <c r="K82" s="122"/>
      <c r="L82" s="122"/>
      <c r="M82" s="122"/>
      <c r="N82" s="122"/>
      <c r="O82" s="122"/>
    </row>
    <row r="83" spans="1:20">
      <c r="A83" s="42">
        <v>27</v>
      </c>
      <c r="B83" s="17" t="str">
        <f t="shared" si="34"/>
        <v>Actual Fixed Charge Revenue</v>
      </c>
      <c r="C83" s="42" t="str">
        <f t="shared" si="32"/>
        <v>Revenue Reports</v>
      </c>
      <c r="D83" s="122">
        <v>1813.5</v>
      </c>
      <c r="E83" s="122">
        <v>1712.75</v>
      </c>
      <c r="F83" s="122">
        <v>1813.5</v>
      </c>
      <c r="G83" s="122"/>
      <c r="H83" s="122"/>
      <c r="I83" s="122"/>
      <c r="J83" s="122"/>
      <c r="K83" s="122"/>
      <c r="L83" s="122"/>
      <c r="M83" s="122"/>
      <c r="N83" s="122"/>
      <c r="O83" s="122"/>
    </row>
    <row r="84" spans="1:20">
      <c r="A84" s="42">
        <v>28</v>
      </c>
      <c r="B84" s="17" t="str">
        <f t="shared" si="34"/>
        <v>Actual Usage (Therms)</v>
      </c>
      <c r="C84" s="42" t="str">
        <f t="shared" si="32"/>
        <v>Revenue Reports</v>
      </c>
      <c r="D84" s="121">
        <v>34993</v>
      </c>
      <c r="E84" s="121">
        <v>26774</v>
      </c>
      <c r="F84" s="121">
        <v>40558</v>
      </c>
      <c r="G84" s="121"/>
      <c r="H84" s="121"/>
      <c r="I84" s="121"/>
      <c r="J84" s="121"/>
      <c r="K84" s="121"/>
      <c r="L84" s="121"/>
      <c r="M84" s="121"/>
      <c r="N84" s="121"/>
      <c r="O84" s="121"/>
    </row>
    <row r="85" spans="1:20">
      <c r="A85" s="42">
        <v>29</v>
      </c>
      <c r="B85" s="17"/>
      <c r="C85" s="42"/>
      <c r="D85" s="95"/>
      <c r="E85" s="95"/>
      <c r="F85" s="95"/>
      <c r="G85" s="95"/>
      <c r="H85" s="95"/>
      <c r="I85" s="95"/>
      <c r="J85" s="95"/>
      <c r="K85" s="95"/>
      <c r="L85" s="95"/>
      <c r="M85" s="95"/>
      <c r="N85" s="95"/>
      <c r="O85" s="95"/>
    </row>
    <row r="86" spans="1:20">
      <c r="A86" s="42">
        <v>30</v>
      </c>
      <c r="B86" s="17"/>
      <c r="C86" s="42"/>
      <c r="D86" s="93"/>
      <c r="E86" s="93"/>
      <c r="F86" s="93"/>
      <c r="G86" s="93"/>
      <c r="H86" s="93"/>
      <c r="I86" s="93"/>
      <c r="J86" s="93"/>
      <c r="K86" s="93"/>
      <c r="L86" s="93"/>
      <c r="M86" s="93"/>
      <c r="N86" s="93"/>
      <c r="O86" s="93"/>
    </row>
    <row r="87" spans="1:20">
      <c r="A87" s="42">
        <v>31</v>
      </c>
      <c r="B87" s="17" t="str">
        <f t="shared" ref="B87:B89" si="35">B41</f>
        <v>Fixed Production and UG Storage Rate per Therm</v>
      </c>
      <c r="C87" s="42" t="s">
        <v>99</v>
      </c>
      <c r="D87" s="95">
        <v>2.8684999999999999E-2</v>
      </c>
      <c r="E87" s="95">
        <f>D87</f>
        <v>2.8684999999999999E-2</v>
      </c>
      <c r="F87" s="95">
        <f t="shared" ref="F87:O87" si="36">E87</f>
        <v>2.8684999999999999E-2</v>
      </c>
      <c r="G87" s="95">
        <f t="shared" si="36"/>
        <v>2.8684999999999999E-2</v>
      </c>
      <c r="H87" s="95">
        <f t="shared" si="36"/>
        <v>2.8684999999999999E-2</v>
      </c>
      <c r="I87" s="95">
        <f t="shared" si="36"/>
        <v>2.8684999999999999E-2</v>
      </c>
      <c r="J87" s="95">
        <f t="shared" si="36"/>
        <v>2.8684999999999999E-2</v>
      </c>
      <c r="K87" s="95">
        <f t="shared" si="36"/>
        <v>2.8684999999999999E-2</v>
      </c>
      <c r="L87" s="95">
        <f t="shared" si="36"/>
        <v>2.8684999999999999E-2</v>
      </c>
      <c r="M87" s="95">
        <f t="shared" si="36"/>
        <v>2.8684999999999999E-2</v>
      </c>
      <c r="N87" s="95">
        <f t="shared" si="36"/>
        <v>2.8684999999999999E-2</v>
      </c>
      <c r="O87" s="95">
        <f t="shared" si="36"/>
        <v>2.8684999999999999E-2</v>
      </c>
    </row>
    <row r="88" spans="1:20">
      <c r="A88" s="42">
        <v>32</v>
      </c>
      <c r="B88" s="17" t="str">
        <f t="shared" si="35"/>
        <v>Fixed Production and UG Storage Revenue</v>
      </c>
      <c r="C88" s="42" t="str">
        <f t="shared" si="32"/>
        <v>(30) x (31)</v>
      </c>
      <c r="D88" s="93">
        <f>D84*D87</f>
        <v>1003.7742049999999</v>
      </c>
      <c r="E88" s="93">
        <f t="shared" ref="E88:O88" si="37">E84*E87</f>
        <v>768.01218999999992</v>
      </c>
      <c r="F88" s="93">
        <f t="shared" si="37"/>
        <v>1163.4062300000001</v>
      </c>
      <c r="G88" s="93">
        <f t="shared" si="37"/>
        <v>0</v>
      </c>
      <c r="H88" s="93">
        <f t="shared" si="37"/>
        <v>0</v>
      </c>
      <c r="I88" s="93">
        <f t="shared" si="37"/>
        <v>0</v>
      </c>
      <c r="J88" s="93">
        <f t="shared" si="37"/>
        <v>0</v>
      </c>
      <c r="K88" s="93">
        <f t="shared" si="37"/>
        <v>0</v>
      </c>
      <c r="L88" s="93">
        <f t="shared" si="37"/>
        <v>0</v>
      </c>
      <c r="M88" s="93">
        <f t="shared" si="37"/>
        <v>0</v>
      </c>
      <c r="N88" s="93">
        <f t="shared" si="37"/>
        <v>0</v>
      </c>
      <c r="O88" s="93">
        <f t="shared" si="37"/>
        <v>0</v>
      </c>
    </row>
    <row r="89" spans="1:20">
      <c r="A89" s="42">
        <v>33</v>
      </c>
      <c r="B89" s="17" t="str">
        <f t="shared" si="35"/>
        <v>Customer Fixed Cost Adjustment Revenue</v>
      </c>
      <c r="C89" s="42" t="str">
        <f t="shared" si="32"/>
        <v>(26) - (27) - (30) - (32)</v>
      </c>
      <c r="D89" s="93">
        <f>D82-D83-D86-D88</f>
        <v>10559.565795</v>
      </c>
      <c r="E89" s="93">
        <f t="shared" ref="E89:O89" si="38">E82-E83-E86-E88</f>
        <v>8052.4478099999997</v>
      </c>
      <c r="F89" s="93">
        <f t="shared" si="38"/>
        <v>10658.19377</v>
      </c>
      <c r="G89" s="93">
        <f t="shared" si="38"/>
        <v>0</v>
      </c>
      <c r="H89" s="93">
        <f t="shared" si="38"/>
        <v>0</v>
      </c>
      <c r="I89" s="93">
        <f t="shared" si="38"/>
        <v>0</v>
      </c>
      <c r="J89" s="93">
        <f t="shared" si="38"/>
        <v>0</v>
      </c>
      <c r="K89" s="93">
        <f t="shared" si="38"/>
        <v>0</v>
      </c>
      <c r="L89" s="93">
        <f t="shared" si="38"/>
        <v>0</v>
      </c>
      <c r="M89" s="93">
        <f t="shared" si="38"/>
        <v>0</v>
      </c>
      <c r="N89" s="93">
        <f t="shared" si="38"/>
        <v>0</v>
      </c>
      <c r="O89" s="93">
        <f t="shared" si="38"/>
        <v>0</v>
      </c>
      <c r="P89" s="44">
        <f>SUM(D89:F89)</f>
        <v>29270.207374999998</v>
      </c>
      <c r="Q89" s="44">
        <f>SUM(G89:I89)</f>
        <v>0</v>
      </c>
      <c r="R89" s="44">
        <f>SUM(J89:L89)</f>
        <v>0</v>
      </c>
      <c r="S89" s="44">
        <f>SUM(M89:O89)</f>
        <v>0</v>
      </c>
      <c r="T89" s="44">
        <f>SUM(D89:O89)</f>
        <v>29270.207374999998</v>
      </c>
    </row>
    <row r="90" spans="1:20">
      <c r="A90" s="42">
        <v>34</v>
      </c>
      <c r="B90" s="3" t="s">
        <v>27</v>
      </c>
      <c r="C90" s="42"/>
      <c r="D90" s="96">
        <f t="shared" ref="D90:O90" si="39">D89/D78</f>
        <v>586.64254416666665</v>
      </c>
      <c r="E90" s="96">
        <f t="shared" si="39"/>
        <v>473.67340058823527</v>
      </c>
      <c r="F90" s="96">
        <f t="shared" si="39"/>
        <v>592.12187611111108</v>
      </c>
      <c r="G90" s="96" t="e">
        <f t="shared" si="39"/>
        <v>#DIV/0!</v>
      </c>
      <c r="H90" s="96" t="e">
        <f t="shared" si="39"/>
        <v>#DIV/0!</v>
      </c>
      <c r="I90" s="96" t="e">
        <f t="shared" si="39"/>
        <v>#DIV/0!</v>
      </c>
      <c r="J90" s="96" t="e">
        <f t="shared" si="39"/>
        <v>#DIV/0!</v>
      </c>
      <c r="K90" s="96" t="e">
        <f t="shared" si="39"/>
        <v>#DIV/0!</v>
      </c>
      <c r="L90" s="96" t="e">
        <f t="shared" si="39"/>
        <v>#DIV/0!</v>
      </c>
      <c r="M90" s="96" t="e">
        <f t="shared" si="39"/>
        <v>#DIV/0!</v>
      </c>
      <c r="N90" s="96" t="e">
        <f t="shared" si="39"/>
        <v>#DIV/0!</v>
      </c>
      <c r="O90" s="96" t="e">
        <f t="shared" si="39"/>
        <v>#DIV/0!</v>
      </c>
      <c r="P90" s="82">
        <f>P89/P78</f>
        <v>552.2680636792453</v>
      </c>
      <c r="Q90" s="82" t="e">
        <f t="shared" ref="Q90:T90" si="40">Q89/Q78</f>
        <v>#DIV/0!</v>
      </c>
      <c r="R90" s="82" t="e">
        <f t="shared" si="40"/>
        <v>#DIV/0!</v>
      </c>
      <c r="S90" s="82" t="e">
        <f t="shared" si="40"/>
        <v>#DIV/0!</v>
      </c>
      <c r="T90" s="82">
        <f t="shared" si="40"/>
        <v>552.2680636792453</v>
      </c>
    </row>
    <row r="91" spans="1:20">
      <c r="A91" s="42">
        <v>35</v>
      </c>
      <c r="B91" s="17" t="str">
        <f t="shared" ref="B91" si="41">B45</f>
        <v>New Customer Deferral - Surcharge (Rebate)</v>
      </c>
      <c r="C91" s="42" t="str">
        <f t="shared" si="32"/>
        <v>(9) - (33)</v>
      </c>
      <c r="D91" s="93">
        <f t="shared" ref="D91:O91" si="42">D80-D89</f>
        <v>-2706.4669858521374</v>
      </c>
      <c r="E91" s="93">
        <f t="shared" si="42"/>
        <v>-1443.8056001319101</v>
      </c>
      <c r="F91" s="93">
        <f t="shared" si="42"/>
        <v>-4364.1353844851619</v>
      </c>
      <c r="G91" s="93">
        <f t="shared" si="42"/>
        <v>0</v>
      </c>
      <c r="H91" s="93">
        <f t="shared" si="42"/>
        <v>0</v>
      </c>
      <c r="I91" s="93">
        <f t="shared" si="42"/>
        <v>0</v>
      </c>
      <c r="J91" s="93">
        <f t="shared" si="42"/>
        <v>0</v>
      </c>
      <c r="K91" s="93">
        <f t="shared" si="42"/>
        <v>0</v>
      </c>
      <c r="L91" s="93">
        <f t="shared" si="42"/>
        <v>0</v>
      </c>
      <c r="M91" s="93">
        <f t="shared" si="42"/>
        <v>0</v>
      </c>
      <c r="N91" s="93">
        <f t="shared" si="42"/>
        <v>0</v>
      </c>
      <c r="O91" s="93">
        <f t="shared" si="42"/>
        <v>0</v>
      </c>
      <c r="P91" s="44">
        <f>SUM(D91:F91)</f>
        <v>-8514.4079704692085</v>
      </c>
      <c r="Q91" s="44">
        <f>SUM(G91:I91)</f>
        <v>0</v>
      </c>
      <c r="R91" s="44">
        <f>SUM(J91:L91)</f>
        <v>0</v>
      </c>
      <c r="S91" s="44">
        <f>SUM(M91:O91)</f>
        <v>0</v>
      </c>
      <c r="T91" s="44">
        <f>SUM(D91:O91)</f>
        <v>-8514.4079704692085</v>
      </c>
    </row>
    <row r="92" spans="1:20">
      <c r="A92" s="42">
        <v>36</v>
      </c>
      <c r="B92" s="17"/>
      <c r="C92" s="42"/>
      <c r="D92" s="93"/>
      <c r="E92" s="93"/>
      <c r="F92" s="93"/>
      <c r="G92" s="93"/>
      <c r="H92" s="93"/>
      <c r="I92" s="93"/>
      <c r="J92" s="93"/>
      <c r="K92" s="93"/>
      <c r="L92" s="93"/>
      <c r="M92" s="93"/>
      <c r="N92" s="93"/>
      <c r="O92" s="93"/>
    </row>
    <row r="93" spans="1:20">
      <c r="A93" s="98">
        <v>37</v>
      </c>
      <c r="B93" s="99" t="s">
        <v>100</v>
      </c>
      <c r="C93" s="98" t="str">
        <f t="shared" ref="C93:C96" si="43">C47</f>
        <v>(18) + (35)</v>
      </c>
      <c r="D93" s="100">
        <f>D74+D91</f>
        <v>24118.484170030657</v>
      </c>
      <c r="E93" s="100">
        <f>E74+E91</f>
        <v>70256.433269359244</v>
      </c>
      <c r="F93" s="100">
        <f t="shared" ref="F93:O93" si="44">F74+F91</f>
        <v>74630.616437763645</v>
      </c>
      <c r="G93" s="100">
        <f t="shared" si="44"/>
        <v>0</v>
      </c>
      <c r="H93" s="100">
        <f t="shared" si="44"/>
        <v>0</v>
      </c>
      <c r="I93" s="100">
        <f t="shared" si="44"/>
        <v>0</v>
      </c>
      <c r="J93" s="100">
        <f t="shared" si="44"/>
        <v>0</v>
      </c>
      <c r="K93" s="100">
        <f t="shared" si="44"/>
        <v>0</v>
      </c>
      <c r="L93" s="100">
        <f t="shared" si="44"/>
        <v>0</v>
      </c>
      <c r="M93" s="100">
        <f t="shared" si="44"/>
        <v>0</v>
      </c>
      <c r="N93" s="100">
        <f t="shared" si="44"/>
        <v>0</v>
      </c>
      <c r="O93" s="100">
        <f t="shared" si="44"/>
        <v>0</v>
      </c>
      <c r="P93" s="100">
        <f>SUM(D93:F93)</f>
        <v>169005.53387715353</v>
      </c>
      <c r="Q93" s="100">
        <f>SUM(G93:I93)</f>
        <v>0</v>
      </c>
      <c r="R93" s="100">
        <f>SUM(J93:L93)</f>
        <v>0</v>
      </c>
      <c r="S93" s="100">
        <f>SUM(M93:O93)</f>
        <v>0</v>
      </c>
      <c r="T93" s="100">
        <f>SUM(D93:O93)</f>
        <v>169005.53387715353</v>
      </c>
    </row>
    <row r="94" spans="1:20">
      <c r="A94" s="98">
        <v>38</v>
      </c>
      <c r="B94" s="99" t="str">
        <f t="shared" ref="B94" si="45">B48</f>
        <v>Deferral - Revenue Related Expenses</v>
      </c>
      <c r="C94" s="98" t="str">
        <f t="shared" si="43"/>
        <v>Rev Conv Factor</v>
      </c>
      <c r="D94" s="100">
        <f>D74*-0.005778</f>
        <v>-154.99456777869079</v>
      </c>
      <c r="E94" s="100">
        <f t="shared" ref="E94:O94" si="46">E74*-0.005778</f>
        <v>-414.28398018791989</v>
      </c>
      <c r="F94" s="100">
        <f t="shared" si="46"/>
        <v>-456.43167602895358</v>
      </c>
      <c r="G94" s="100">
        <f t="shared" si="46"/>
        <v>0</v>
      </c>
      <c r="H94" s="100">
        <f t="shared" si="46"/>
        <v>0</v>
      </c>
      <c r="I94" s="100">
        <f t="shared" si="46"/>
        <v>0</v>
      </c>
      <c r="J94" s="100">
        <f t="shared" si="46"/>
        <v>0</v>
      </c>
      <c r="K94" s="100">
        <f t="shared" si="46"/>
        <v>0</v>
      </c>
      <c r="L94" s="100">
        <f t="shared" si="46"/>
        <v>0</v>
      </c>
      <c r="M94" s="100">
        <f t="shared" si="46"/>
        <v>0</v>
      </c>
      <c r="N94" s="100">
        <f t="shared" si="46"/>
        <v>0</v>
      </c>
      <c r="O94" s="100">
        <f t="shared" si="46"/>
        <v>0</v>
      </c>
      <c r="P94" s="100">
        <f>SUM(D94:F94)</f>
        <v>-1025.7102239955643</v>
      </c>
      <c r="Q94" s="100">
        <f>SUM(G94:I94)</f>
        <v>0</v>
      </c>
      <c r="R94" s="100">
        <f>SUM(J94:L94)</f>
        <v>0</v>
      </c>
      <c r="S94" s="100">
        <f>SUM(M94:O94)</f>
        <v>0</v>
      </c>
      <c r="T94" s="100">
        <f>SUM(D94:O94)</f>
        <v>-1025.7102239955643</v>
      </c>
    </row>
    <row r="95" spans="1:20">
      <c r="A95" s="42">
        <v>39</v>
      </c>
      <c r="B95" s="17"/>
      <c r="C95" s="3" t="str">
        <f t="shared" si="43"/>
        <v>Customer Deposit Rate</v>
      </c>
      <c r="D95" s="103">
        <v>0.01</v>
      </c>
      <c r="E95" s="103">
        <f t="shared" ref="E95:O95" si="47">D95</f>
        <v>0.01</v>
      </c>
      <c r="F95" s="103">
        <f t="shared" si="47"/>
        <v>0.01</v>
      </c>
      <c r="G95" s="103">
        <v>0</v>
      </c>
      <c r="H95" s="103">
        <f t="shared" si="47"/>
        <v>0</v>
      </c>
      <c r="I95" s="103">
        <f t="shared" si="47"/>
        <v>0</v>
      </c>
      <c r="J95" s="103">
        <f t="shared" si="47"/>
        <v>0</v>
      </c>
      <c r="K95" s="103">
        <f t="shared" si="47"/>
        <v>0</v>
      </c>
      <c r="L95" s="103">
        <f t="shared" si="47"/>
        <v>0</v>
      </c>
      <c r="M95" s="103">
        <f t="shared" si="47"/>
        <v>0</v>
      </c>
      <c r="N95" s="103">
        <f t="shared" si="47"/>
        <v>0</v>
      </c>
      <c r="O95" s="103">
        <f t="shared" si="47"/>
        <v>0</v>
      </c>
    </row>
    <row r="96" spans="1:20">
      <c r="A96" s="98">
        <v>40</v>
      </c>
      <c r="B96" s="99" t="str">
        <f>B50</f>
        <v>Interest on Deferral</v>
      </c>
      <c r="C96" s="98" t="str">
        <f t="shared" si="43"/>
        <v>Avg Balance Calc</v>
      </c>
      <c r="D96" s="104">
        <f>(D93+D94)/2*D95/12</f>
        <v>9.9847873342716529</v>
      </c>
      <c r="E96" s="104">
        <f>(D99+(E93+E94)/2)*E95/12</f>
        <v>49.078790861809921</v>
      </c>
      <c r="F96" s="104">
        <f t="shared" ref="F96:O96" si="48">(E99+(F93+F94)/2)*F95/12</f>
        <v>109.12649570873891</v>
      </c>
      <c r="G96" s="104">
        <f t="shared" si="48"/>
        <v>0</v>
      </c>
      <c r="H96" s="104">
        <f t="shared" si="48"/>
        <v>0</v>
      </c>
      <c r="I96" s="104">
        <f t="shared" si="48"/>
        <v>0</v>
      </c>
      <c r="J96" s="104">
        <f t="shared" si="48"/>
        <v>0</v>
      </c>
      <c r="K96" s="104">
        <f t="shared" si="48"/>
        <v>0</v>
      </c>
      <c r="L96" s="104">
        <f t="shared" si="48"/>
        <v>0</v>
      </c>
      <c r="M96" s="104">
        <f t="shared" si="48"/>
        <v>0</v>
      </c>
      <c r="N96" s="104">
        <f t="shared" si="48"/>
        <v>0</v>
      </c>
      <c r="O96" s="104">
        <f t="shared" si="48"/>
        <v>0</v>
      </c>
      <c r="P96" s="104">
        <f>SUM(D96:F96)</f>
        <v>168.19007390482048</v>
      </c>
      <c r="Q96" s="104">
        <f>SUM(G96:I96)</f>
        <v>0</v>
      </c>
      <c r="R96" s="104">
        <f>SUM(J96:L96)</f>
        <v>0</v>
      </c>
      <c r="S96" s="104">
        <f>SUM(M96:O96)</f>
        <v>0</v>
      </c>
      <c r="T96" s="104">
        <f>SUM(D96:O96)</f>
        <v>168.19007390482048</v>
      </c>
    </row>
    <row r="97" spans="1:20">
      <c r="A97" s="105">
        <v>41</v>
      </c>
      <c r="B97" s="106" t="s">
        <v>29</v>
      </c>
      <c r="C97" s="105"/>
      <c r="D97" s="108">
        <f>D93+D94+D96</f>
        <v>23973.474389586241</v>
      </c>
      <c r="E97" s="108">
        <f>E93+E94+E96</f>
        <v>69891.228080033135</v>
      </c>
      <c r="F97" s="108">
        <f t="shared" ref="F97:T97" si="49">F93+F94+F96</f>
        <v>74283.311257443434</v>
      </c>
      <c r="G97" s="108">
        <f t="shared" si="49"/>
        <v>0</v>
      </c>
      <c r="H97" s="108">
        <f t="shared" si="49"/>
        <v>0</v>
      </c>
      <c r="I97" s="108">
        <f t="shared" si="49"/>
        <v>0</v>
      </c>
      <c r="J97" s="108">
        <f t="shared" si="49"/>
        <v>0</v>
      </c>
      <c r="K97" s="108">
        <f t="shared" si="49"/>
        <v>0</v>
      </c>
      <c r="L97" s="108">
        <f t="shared" si="49"/>
        <v>0</v>
      </c>
      <c r="M97" s="108">
        <f t="shared" si="49"/>
        <v>0</v>
      </c>
      <c r="N97" s="108">
        <f t="shared" si="49"/>
        <v>0</v>
      </c>
      <c r="O97" s="108">
        <f t="shared" si="49"/>
        <v>0</v>
      </c>
      <c r="P97" s="108">
        <f t="shared" si="49"/>
        <v>168148.01372706279</v>
      </c>
      <c r="Q97" s="108">
        <f t="shared" si="49"/>
        <v>0</v>
      </c>
      <c r="R97" s="108">
        <f t="shared" si="49"/>
        <v>0</v>
      </c>
      <c r="S97" s="108">
        <f t="shared" si="49"/>
        <v>0</v>
      </c>
      <c r="T97" s="108">
        <f t="shared" si="49"/>
        <v>168148.01372706279</v>
      </c>
    </row>
    <row r="98" spans="1:20">
      <c r="A98" s="42">
        <v>42</v>
      </c>
      <c r="B98" s="17"/>
      <c r="C98" s="42"/>
      <c r="D98" s="94"/>
      <c r="E98" s="94"/>
      <c r="F98" s="94"/>
      <c r="G98" s="94"/>
      <c r="H98" s="94"/>
      <c r="I98" s="94"/>
      <c r="J98" s="94"/>
      <c r="K98" s="94"/>
      <c r="L98" s="94"/>
      <c r="M98" s="94"/>
      <c r="N98" s="94"/>
      <c r="O98" s="94"/>
    </row>
    <row r="99" spans="1:20" ht="26.25">
      <c r="A99" s="90">
        <v>43</v>
      </c>
      <c r="B99" s="113" t="s">
        <v>101</v>
      </c>
      <c r="C99" s="90" t="str">
        <f t="shared" ref="C99" si="50">C53</f>
        <v>Σ((37), (38), (40))</v>
      </c>
      <c r="D99" s="114">
        <f>D93+D94+D96</f>
        <v>23973.474389586241</v>
      </c>
      <c r="E99" s="114">
        <f>D99+E93+E94+E96</f>
        <v>93864.702469619369</v>
      </c>
      <c r="F99" s="114">
        <f t="shared" ref="F99:N99" si="51">E99+F93+F94+F96</f>
        <v>168148.01372706279</v>
      </c>
      <c r="G99" s="114">
        <f t="shared" si="51"/>
        <v>168148.01372706279</v>
      </c>
      <c r="H99" s="114">
        <f t="shared" si="51"/>
        <v>168148.01372706279</v>
      </c>
      <c r="I99" s="114">
        <f t="shared" si="51"/>
        <v>168148.01372706279</v>
      </c>
      <c r="J99" s="114">
        <f t="shared" si="51"/>
        <v>168148.01372706279</v>
      </c>
      <c r="K99" s="114">
        <f t="shared" si="51"/>
        <v>168148.01372706279</v>
      </c>
      <c r="L99" s="114">
        <f t="shared" si="51"/>
        <v>168148.01372706279</v>
      </c>
      <c r="M99" s="114">
        <f t="shared" si="51"/>
        <v>168148.01372706279</v>
      </c>
      <c r="N99" s="114">
        <f t="shared" si="51"/>
        <v>168148.01372706279</v>
      </c>
      <c r="O99" s="114">
        <f>N99+O93+O94+O96</f>
        <v>168148.01372706279</v>
      </c>
    </row>
    <row r="100" spans="1:20" ht="14.45" customHeight="1">
      <c r="A100" s="42"/>
      <c r="B100" s="17"/>
      <c r="C100" s="90"/>
      <c r="D100" s="114"/>
      <c r="E100" s="114"/>
      <c r="F100" s="114"/>
      <c r="G100" s="114"/>
      <c r="H100" s="114"/>
      <c r="I100" s="114"/>
      <c r="J100" s="114"/>
      <c r="K100" s="114"/>
      <c r="L100" s="114"/>
      <c r="M100" s="114"/>
      <c r="N100" s="114"/>
      <c r="O100" s="114"/>
    </row>
    <row r="101" spans="1:20" ht="26.25">
      <c r="A101" s="90">
        <v>44</v>
      </c>
      <c r="B101" s="115" t="s">
        <v>102</v>
      </c>
      <c r="C101" s="79" t="str">
        <f>"Res line("&amp;A$53&amp;") +Non-Res line ("&amp;A99&amp;")"</f>
        <v>Res line(43) +Non-Res line (43)</v>
      </c>
      <c r="D101" s="116">
        <f>D53+D99</f>
        <v>153299.59254047176</v>
      </c>
      <c r="E101" s="116">
        <f>E53+E99</f>
        <v>950421.02141359798</v>
      </c>
      <c r="F101" s="116">
        <f t="shared" ref="F101:O101" si="52">F53+F99</f>
        <v>1538999.7572616776</v>
      </c>
      <c r="G101" s="116">
        <f t="shared" si="52"/>
        <v>1538999.7572616776</v>
      </c>
      <c r="H101" s="116">
        <f t="shared" si="52"/>
        <v>1538999.7572616776</v>
      </c>
      <c r="I101" s="116">
        <f t="shared" si="52"/>
        <v>1538999.7572616776</v>
      </c>
      <c r="J101" s="116">
        <f t="shared" si="52"/>
        <v>1538999.7572616776</v>
      </c>
      <c r="K101" s="116">
        <f t="shared" si="52"/>
        <v>1538999.7572616776</v>
      </c>
      <c r="L101" s="116">
        <f t="shared" si="52"/>
        <v>1538999.7572616776</v>
      </c>
      <c r="M101" s="116">
        <f t="shared" si="52"/>
        <v>1538999.7572616776</v>
      </c>
      <c r="N101" s="116">
        <f t="shared" si="52"/>
        <v>1538999.7572616776</v>
      </c>
      <c r="O101" s="116">
        <f t="shared" si="52"/>
        <v>1538999.7572616776</v>
      </c>
    </row>
  </sheetData>
  <pageMargins left="0.7" right="0.7" top="0.75" bottom="0.75" header="0.3" footer="0.3"/>
  <pageSetup scale="79" firstPageNumber="6" orientation="portrait" useFirstPageNumber="1" r:id="rId1"/>
  <headerFooter>
    <oddHeader>&amp;CAvista Corporation Fixed Cost Adjustment Mechanism
Idaho Jurisdiction
Quarterly Report for 1st Quarter 2016</oddHeader>
    <oddFooter>&amp;C&amp;F / &amp;A&amp;RPage &amp;P of ?</oddFoot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00"/>
  <sheetViews>
    <sheetView tabSelected="1" topLeftCell="A158" zoomScaleNormal="100" zoomScaleSheetLayoutView="82" zoomScalePageLayoutView="48" workbookViewId="0">
      <selection activeCell="V102" sqref="V102"/>
    </sheetView>
  </sheetViews>
  <sheetFormatPr defaultRowHeight="15"/>
  <cols>
    <col min="1" max="1" width="7.28515625" customWidth="1"/>
    <col min="2" max="2" width="36.140625" customWidth="1"/>
    <col min="3" max="3" width="6.28515625" customWidth="1"/>
    <col min="4" max="6" width="13.140625" customWidth="1"/>
    <col min="7" max="7" width="13.42578125" customWidth="1"/>
    <col min="9" max="10" width="14" bestFit="1" customWidth="1"/>
    <col min="11" max="11" width="11.140625" bestFit="1" customWidth="1"/>
    <col min="12" max="13" width="11.42578125" customWidth="1"/>
  </cols>
  <sheetData>
    <row r="1" spans="1:16" ht="15.75">
      <c r="A1" s="214" t="s">
        <v>31</v>
      </c>
      <c r="B1" s="214"/>
      <c r="C1" s="214"/>
      <c r="D1" s="214"/>
      <c r="E1" s="214"/>
      <c r="F1" s="214"/>
      <c r="G1" s="214"/>
    </row>
    <row r="3" spans="1:16">
      <c r="A3" s="45" t="s">
        <v>176</v>
      </c>
      <c r="B3" s="45"/>
      <c r="C3" s="45"/>
      <c r="D3" s="45"/>
      <c r="E3" s="45"/>
      <c r="F3" s="45"/>
      <c r="G3" s="45"/>
      <c r="J3" s="45"/>
      <c r="K3" s="45"/>
      <c r="L3" s="45"/>
      <c r="M3" s="45"/>
      <c r="N3" s="45"/>
      <c r="O3" s="45"/>
      <c r="P3" s="45"/>
    </row>
    <row r="4" spans="1:16">
      <c r="A4" s="45"/>
      <c r="B4" s="45"/>
      <c r="C4" s="45"/>
      <c r="D4" s="45"/>
      <c r="E4" s="45"/>
      <c r="F4" s="45"/>
      <c r="G4" s="45"/>
      <c r="J4" s="45"/>
      <c r="K4" s="45"/>
      <c r="L4" s="45"/>
      <c r="M4" s="45"/>
      <c r="N4" s="45"/>
      <c r="O4" s="45"/>
      <c r="P4" s="45"/>
    </row>
    <row r="5" spans="1:16">
      <c r="A5" s="19" t="s">
        <v>128</v>
      </c>
      <c r="B5" s="45"/>
      <c r="C5" s="6" t="s">
        <v>129</v>
      </c>
      <c r="D5" s="45"/>
      <c r="E5" s="45"/>
      <c r="F5" s="45"/>
      <c r="G5" s="45"/>
    </row>
    <row r="6" spans="1:16">
      <c r="A6" s="45"/>
      <c r="B6" s="45"/>
      <c r="C6" s="45"/>
      <c r="D6" s="45"/>
      <c r="E6" s="45"/>
      <c r="F6" s="45"/>
      <c r="G6" s="45"/>
    </row>
    <row r="7" spans="1:16" ht="26.25">
      <c r="A7" s="59" t="s">
        <v>32</v>
      </c>
      <c r="B7" s="60" t="s">
        <v>33</v>
      </c>
      <c r="C7" s="141" t="s">
        <v>34</v>
      </c>
      <c r="D7" s="59" t="s">
        <v>35</v>
      </c>
      <c r="E7" s="59" t="s">
        <v>36</v>
      </c>
      <c r="F7" s="59" t="s">
        <v>37</v>
      </c>
      <c r="G7" s="59" t="s">
        <v>38</v>
      </c>
    </row>
    <row r="8" spans="1:16" ht="14.45" customHeight="1">
      <c r="A8" s="21" t="s">
        <v>39</v>
      </c>
      <c r="B8" s="20" t="s">
        <v>40</v>
      </c>
      <c r="C8" s="138" t="s">
        <v>41</v>
      </c>
      <c r="D8" s="23" t="s">
        <v>177</v>
      </c>
      <c r="E8" s="24">
        <v>-616597.28</v>
      </c>
      <c r="F8" s="25">
        <v>383466.72</v>
      </c>
      <c r="G8" s="24">
        <v>-233130.56</v>
      </c>
      <c r="I8" s="164"/>
    </row>
    <row r="9" spans="1:16">
      <c r="A9" s="26"/>
      <c r="B9" s="20" t="s">
        <v>40</v>
      </c>
      <c r="C9" s="139"/>
      <c r="D9" s="23" t="s">
        <v>178</v>
      </c>
      <c r="E9" s="24">
        <v>-233130.56</v>
      </c>
      <c r="F9" s="25">
        <v>83318.100000000006</v>
      </c>
      <c r="G9" s="24">
        <v>-149812.46</v>
      </c>
      <c r="I9" s="164"/>
    </row>
    <row r="10" spans="1:16">
      <c r="A10" s="26"/>
      <c r="B10" s="20" t="s">
        <v>40</v>
      </c>
      <c r="C10" s="140"/>
      <c r="D10" s="23" t="s">
        <v>179</v>
      </c>
      <c r="E10" s="24">
        <v>-149812.46</v>
      </c>
      <c r="F10" s="25">
        <v>-223103.5</v>
      </c>
      <c r="G10" s="24">
        <v>-372915.96</v>
      </c>
      <c r="I10" s="164"/>
    </row>
    <row r="11" spans="1:16">
      <c r="A11" s="26"/>
      <c r="B11" s="51"/>
      <c r="C11" s="142"/>
      <c r="D11" s="51"/>
      <c r="E11" s="53"/>
      <c r="F11" s="54">
        <f>SUM(F8:F10)</f>
        <v>243681.31999999995</v>
      </c>
      <c r="G11" s="53"/>
    </row>
    <row r="12" spans="1:16">
      <c r="A12" s="26"/>
      <c r="B12" s="20" t="s">
        <v>40</v>
      </c>
      <c r="C12" s="138" t="s">
        <v>42</v>
      </c>
      <c r="D12" s="23" t="s">
        <v>177</v>
      </c>
      <c r="E12" s="24">
        <v>-1467314.39</v>
      </c>
      <c r="F12" s="25">
        <v>103772.37</v>
      </c>
      <c r="G12" s="24">
        <v>-1363542.02</v>
      </c>
      <c r="I12" s="164"/>
    </row>
    <row r="13" spans="1:16">
      <c r="A13" s="26"/>
      <c r="B13" s="20" t="s">
        <v>40</v>
      </c>
      <c r="C13" s="139"/>
      <c r="D13" s="23" t="s">
        <v>178</v>
      </c>
      <c r="E13" s="24">
        <v>-1363542.02</v>
      </c>
      <c r="F13" s="25">
        <v>239568.23</v>
      </c>
      <c r="G13" s="24">
        <v>-1123973.79</v>
      </c>
      <c r="I13" s="164"/>
    </row>
    <row r="14" spans="1:16">
      <c r="A14" s="26"/>
      <c r="B14" s="20" t="s">
        <v>40</v>
      </c>
      <c r="C14" s="140"/>
      <c r="D14" s="23" t="s">
        <v>179</v>
      </c>
      <c r="E14" s="24">
        <v>-1123973.79</v>
      </c>
      <c r="F14" s="25">
        <v>60693.27</v>
      </c>
      <c r="G14" s="24">
        <v>-1063280.52</v>
      </c>
      <c r="I14" s="164"/>
    </row>
    <row r="15" spans="1:16">
      <c r="A15" s="29"/>
      <c r="B15" s="51"/>
      <c r="C15" s="137"/>
      <c r="D15" s="51"/>
      <c r="E15" s="53"/>
      <c r="F15" s="54">
        <f>SUM(F12:F14)</f>
        <v>404033.87</v>
      </c>
      <c r="G15" s="53"/>
      <c r="I15" s="151"/>
    </row>
    <row r="16" spans="1:16" ht="14.45" customHeight="1">
      <c r="A16" s="55"/>
      <c r="B16" s="56"/>
      <c r="C16" s="55"/>
      <c r="D16" s="55"/>
      <c r="E16" s="57"/>
      <c r="F16" s="58">
        <f>F11+F15</f>
        <v>647715.18999999994</v>
      </c>
      <c r="G16" s="57"/>
    </row>
    <row r="17" spans="1:9" ht="14.45" customHeight="1">
      <c r="A17" s="21" t="s">
        <v>43</v>
      </c>
      <c r="B17" s="20" t="s">
        <v>44</v>
      </c>
      <c r="C17" s="22" t="s">
        <v>41</v>
      </c>
      <c r="D17" s="23" t="s">
        <v>177</v>
      </c>
      <c r="E17" s="24">
        <v>179786.3</v>
      </c>
      <c r="F17" s="25">
        <v>-84462.86</v>
      </c>
      <c r="G17" s="24">
        <v>95323.44</v>
      </c>
      <c r="I17" s="164"/>
    </row>
    <row r="18" spans="1:9">
      <c r="A18" s="26"/>
      <c r="B18" s="20" t="s">
        <v>44</v>
      </c>
      <c r="C18" s="27"/>
      <c r="D18" s="23" t="s">
        <v>178</v>
      </c>
      <c r="E18" s="24">
        <v>95323.44</v>
      </c>
      <c r="F18" s="25">
        <v>247732.01</v>
      </c>
      <c r="G18" s="24">
        <v>343055.45</v>
      </c>
      <c r="I18" s="164"/>
    </row>
    <row r="19" spans="1:9">
      <c r="A19" s="26"/>
      <c r="B19" s="20" t="s">
        <v>44</v>
      </c>
      <c r="C19" s="28"/>
      <c r="D19" s="23" t="s">
        <v>179</v>
      </c>
      <c r="E19" s="24">
        <v>343055.45</v>
      </c>
      <c r="F19" s="25">
        <v>-234887.91</v>
      </c>
      <c r="G19" s="24">
        <v>108167.54</v>
      </c>
      <c r="I19" s="164"/>
    </row>
    <row r="20" spans="1:9">
      <c r="A20" s="26"/>
      <c r="B20" s="51"/>
      <c r="C20" s="52"/>
      <c r="D20" s="51"/>
      <c r="E20" s="53"/>
      <c r="F20" s="54">
        <f>SUM(F17:F19)</f>
        <v>-71618.75999999998</v>
      </c>
      <c r="G20" s="53"/>
    </row>
    <row r="21" spans="1:9">
      <c r="A21" s="26"/>
      <c r="B21" s="20" t="s">
        <v>44</v>
      </c>
      <c r="C21" s="22" t="s">
        <v>42</v>
      </c>
      <c r="D21" s="23" t="s">
        <v>177</v>
      </c>
      <c r="E21" s="24">
        <v>-290522.89</v>
      </c>
      <c r="F21" s="25">
        <v>-41470.269999999997</v>
      </c>
      <c r="G21" s="24">
        <v>-331993.15999999997</v>
      </c>
      <c r="I21" s="164"/>
    </row>
    <row r="22" spans="1:9">
      <c r="A22" s="26"/>
      <c r="B22" s="20" t="s">
        <v>44</v>
      </c>
      <c r="C22" s="27"/>
      <c r="D22" s="23" t="s">
        <v>178</v>
      </c>
      <c r="E22" s="24">
        <v>-331993.15999999997</v>
      </c>
      <c r="F22" s="25">
        <v>48683.21</v>
      </c>
      <c r="G22" s="24">
        <v>-283309.95</v>
      </c>
      <c r="I22" s="164"/>
    </row>
    <row r="23" spans="1:9">
      <c r="A23" s="26"/>
      <c r="B23" s="20" t="s">
        <v>44</v>
      </c>
      <c r="C23" s="28"/>
      <c r="D23" s="23" t="s">
        <v>179</v>
      </c>
      <c r="E23" s="24">
        <v>-283309.95</v>
      </c>
      <c r="F23" s="25">
        <v>15434.56</v>
      </c>
      <c r="G23" s="24">
        <v>-267875.39</v>
      </c>
      <c r="I23" s="164"/>
    </row>
    <row r="24" spans="1:9">
      <c r="A24" s="29"/>
      <c r="B24" s="51"/>
      <c r="C24" s="52"/>
      <c r="D24" s="51"/>
      <c r="E24" s="53"/>
      <c r="F24" s="54">
        <f>SUM(F21:F23)</f>
        <v>22647.5</v>
      </c>
      <c r="G24" s="53"/>
    </row>
    <row r="25" spans="1:9">
      <c r="A25" s="55"/>
      <c r="B25" s="56"/>
      <c r="C25" s="55"/>
      <c r="D25" s="55"/>
      <c r="E25" s="57"/>
      <c r="F25" s="58">
        <f>F20+F24</f>
        <v>-48971.25999999998</v>
      </c>
      <c r="G25" s="57"/>
    </row>
    <row r="26" spans="1:9">
      <c r="A26" s="7"/>
      <c r="B26" s="7"/>
      <c r="C26" s="7"/>
      <c r="D26" s="7"/>
      <c r="E26" s="8"/>
      <c r="F26" s="9"/>
      <c r="G26" s="8"/>
    </row>
    <row r="27" spans="1:9" s="45" customFormat="1">
      <c r="A27" s="19" t="s">
        <v>128</v>
      </c>
      <c r="B27" s="7"/>
      <c r="C27" s="150" t="s">
        <v>148</v>
      </c>
      <c r="D27" s="7"/>
      <c r="E27" s="8"/>
      <c r="F27" s="9"/>
      <c r="G27" s="8"/>
    </row>
    <row r="28" spans="1:9" s="45" customFormat="1">
      <c r="A28" s="7"/>
      <c r="B28" s="7"/>
      <c r="C28" s="7"/>
      <c r="D28" s="7"/>
      <c r="E28" s="8"/>
      <c r="F28" s="9"/>
      <c r="G28" s="8"/>
    </row>
    <row r="29" spans="1:9" s="45" customFormat="1" ht="26.25">
      <c r="A29" s="59" t="s">
        <v>32</v>
      </c>
      <c r="B29" s="60" t="s">
        <v>33</v>
      </c>
      <c r="C29" s="141" t="s">
        <v>34</v>
      </c>
      <c r="D29" s="59" t="s">
        <v>35</v>
      </c>
      <c r="E29" s="59" t="s">
        <v>36</v>
      </c>
      <c r="F29" s="59" t="s">
        <v>37</v>
      </c>
      <c r="G29" s="59" t="s">
        <v>38</v>
      </c>
    </row>
    <row r="30" spans="1:9" s="45" customFormat="1">
      <c r="A30" s="21" t="s">
        <v>144</v>
      </c>
      <c r="B30" s="20" t="s">
        <v>145</v>
      </c>
      <c r="C30" s="138" t="s">
        <v>41</v>
      </c>
      <c r="D30" s="23" t="s">
        <v>177</v>
      </c>
      <c r="E30" s="24">
        <v>1762260.22</v>
      </c>
      <c r="F30" s="25">
        <v>2937.1</v>
      </c>
      <c r="G30" s="24">
        <v>1765197.32</v>
      </c>
    </row>
    <row r="31" spans="1:9" s="45" customFormat="1">
      <c r="A31" s="26"/>
      <c r="B31" s="20" t="s">
        <v>145</v>
      </c>
      <c r="C31" s="139"/>
      <c r="D31" s="23" t="s">
        <v>178</v>
      </c>
      <c r="E31" s="24">
        <v>1765197.32</v>
      </c>
      <c r="F31" s="25">
        <v>2942</v>
      </c>
      <c r="G31" s="24">
        <v>1768139.32</v>
      </c>
    </row>
    <row r="32" spans="1:9" s="45" customFormat="1">
      <c r="A32" s="26"/>
      <c r="B32" s="20" t="s">
        <v>145</v>
      </c>
      <c r="C32" s="140"/>
      <c r="D32" s="23" t="s">
        <v>179</v>
      </c>
      <c r="E32" s="24">
        <v>1768139.32</v>
      </c>
      <c r="F32" s="25">
        <v>2946.9</v>
      </c>
      <c r="G32" s="24">
        <v>1771086.22</v>
      </c>
    </row>
    <row r="33" spans="1:7" s="45" customFormat="1">
      <c r="A33" s="26"/>
      <c r="B33" s="51"/>
      <c r="C33" s="142"/>
      <c r="D33" s="51"/>
      <c r="E33" s="53"/>
      <c r="F33" s="54">
        <f>SUM(F30:F32)</f>
        <v>8826</v>
      </c>
      <c r="G33" s="53"/>
    </row>
    <row r="34" spans="1:7" s="45" customFormat="1">
      <c r="A34" s="26"/>
      <c r="B34" s="20" t="s">
        <v>145</v>
      </c>
      <c r="C34" s="138" t="s">
        <v>42</v>
      </c>
      <c r="D34" s="23" t="s">
        <v>177</v>
      </c>
      <c r="E34" s="24">
        <v>560255.99</v>
      </c>
      <c r="F34" s="25">
        <v>933.76</v>
      </c>
      <c r="G34" s="24">
        <v>561189.75</v>
      </c>
    </row>
    <row r="35" spans="1:7" s="45" customFormat="1">
      <c r="A35" s="26"/>
      <c r="B35" s="20" t="s">
        <v>145</v>
      </c>
      <c r="C35" s="139"/>
      <c r="D35" s="23" t="s">
        <v>178</v>
      </c>
      <c r="E35" s="24">
        <v>561189.75</v>
      </c>
      <c r="F35" s="25">
        <v>935.32</v>
      </c>
      <c r="G35" s="24">
        <v>562125.06999999995</v>
      </c>
    </row>
    <row r="36" spans="1:7" s="45" customFormat="1">
      <c r="A36" s="26"/>
      <c r="B36" s="20" t="s">
        <v>145</v>
      </c>
      <c r="C36" s="140"/>
      <c r="D36" s="23" t="s">
        <v>179</v>
      </c>
      <c r="E36" s="24">
        <v>562125.06999999995</v>
      </c>
      <c r="F36" s="25">
        <v>936.88</v>
      </c>
      <c r="G36" s="24">
        <v>563061.94999999995</v>
      </c>
    </row>
    <row r="37" spans="1:7" s="45" customFormat="1">
      <c r="A37" s="29"/>
      <c r="B37" s="51"/>
      <c r="C37" s="137"/>
      <c r="D37" s="51"/>
      <c r="E37" s="53"/>
      <c r="F37" s="54">
        <f>SUM(F34:F36)</f>
        <v>2805.96</v>
      </c>
      <c r="G37" s="53"/>
    </row>
    <row r="38" spans="1:7" s="45" customFormat="1">
      <c r="A38" s="55"/>
      <c r="B38" s="56"/>
      <c r="C38" s="55"/>
      <c r="D38" s="55"/>
      <c r="E38" s="57"/>
      <c r="F38" s="58">
        <f>F33+F37</f>
        <v>11631.96</v>
      </c>
      <c r="G38" s="57"/>
    </row>
    <row r="39" spans="1:7" s="45" customFormat="1">
      <c r="A39" s="21" t="s">
        <v>146</v>
      </c>
      <c r="B39" s="20" t="s">
        <v>147</v>
      </c>
      <c r="C39" s="22" t="s">
        <v>41</v>
      </c>
      <c r="D39" s="23" t="s">
        <v>177</v>
      </c>
      <c r="E39" s="24">
        <v>1428520.65</v>
      </c>
      <c r="F39" s="25">
        <v>2380.87</v>
      </c>
      <c r="G39" s="24">
        <v>1430901.52</v>
      </c>
    </row>
    <row r="40" spans="1:7" s="45" customFormat="1">
      <c r="A40" s="26"/>
      <c r="B40" s="20" t="s">
        <v>147</v>
      </c>
      <c r="C40" s="27"/>
      <c r="D40" s="23" t="s">
        <v>178</v>
      </c>
      <c r="E40" s="24">
        <v>1430901.52</v>
      </c>
      <c r="F40" s="25">
        <v>2384.84</v>
      </c>
      <c r="G40" s="24">
        <v>1433286.36</v>
      </c>
    </row>
    <row r="41" spans="1:7" s="45" customFormat="1">
      <c r="A41" s="26"/>
      <c r="B41" s="20" t="s">
        <v>147</v>
      </c>
      <c r="C41" s="28"/>
      <c r="D41" s="23" t="s">
        <v>179</v>
      </c>
      <c r="E41" s="24">
        <v>1433286.36</v>
      </c>
      <c r="F41" s="25">
        <v>2388.81</v>
      </c>
      <c r="G41" s="24">
        <v>1435675.17</v>
      </c>
    </row>
    <row r="42" spans="1:7" s="45" customFormat="1">
      <c r="A42" s="26"/>
      <c r="B42" s="51"/>
      <c r="C42" s="52"/>
      <c r="D42" s="51"/>
      <c r="E42" s="53"/>
      <c r="F42" s="54">
        <f>SUM(F39:F41)</f>
        <v>7154.52</v>
      </c>
      <c r="G42" s="53"/>
    </row>
    <row r="43" spans="1:7" s="45" customFormat="1">
      <c r="A43" s="26"/>
      <c r="B43" s="20" t="s">
        <v>147</v>
      </c>
      <c r="C43" s="22" t="s">
        <v>42</v>
      </c>
      <c r="D43" s="23" t="s">
        <v>177</v>
      </c>
      <c r="E43" s="24">
        <v>-138587.63</v>
      </c>
      <c r="F43" s="25">
        <v>-230.98</v>
      </c>
      <c r="G43" s="24">
        <v>-138818.60999999999</v>
      </c>
    </row>
    <row r="44" spans="1:7" s="45" customFormat="1">
      <c r="A44" s="26"/>
      <c r="B44" s="20" t="s">
        <v>147</v>
      </c>
      <c r="C44" s="27"/>
      <c r="D44" s="23" t="s">
        <v>178</v>
      </c>
      <c r="E44" s="24">
        <v>-138818.60999999999</v>
      </c>
      <c r="F44" s="25">
        <v>-231.36</v>
      </c>
      <c r="G44" s="24">
        <v>-139049.97</v>
      </c>
    </row>
    <row r="45" spans="1:7" s="45" customFormat="1">
      <c r="A45" s="26"/>
      <c r="B45" s="20" t="s">
        <v>147</v>
      </c>
      <c r="C45" s="28"/>
      <c r="D45" s="23" t="s">
        <v>179</v>
      </c>
      <c r="E45" s="24">
        <v>-139049.97</v>
      </c>
      <c r="F45" s="25">
        <v>-231.75</v>
      </c>
      <c r="G45" s="24">
        <v>-139281.72</v>
      </c>
    </row>
    <row r="46" spans="1:7" s="45" customFormat="1">
      <c r="A46" s="29"/>
      <c r="B46" s="51"/>
      <c r="C46" s="52"/>
      <c r="D46" s="51"/>
      <c r="E46" s="53"/>
      <c r="F46" s="54">
        <f>SUM(F43:F45)</f>
        <v>-694.09</v>
      </c>
      <c r="G46" s="53"/>
    </row>
    <row r="47" spans="1:7" s="45" customFormat="1">
      <c r="A47" s="55"/>
      <c r="B47" s="56"/>
      <c r="C47" s="55"/>
      <c r="D47" s="55"/>
      <c r="E47" s="57"/>
      <c r="F47" s="58">
        <f>F42+F46</f>
        <v>6460.43</v>
      </c>
      <c r="G47" s="57"/>
    </row>
    <row r="48" spans="1:7" s="45" customFormat="1">
      <c r="A48" s="7"/>
      <c r="B48" s="7"/>
      <c r="C48" s="7"/>
      <c r="D48" s="7"/>
      <c r="E48" s="8"/>
      <c r="F48" s="9"/>
      <c r="G48" s="8"/>
    </row>
    <row r="49" spans="1:9" s="45" customFormat="1">
      <c r="A49" s="7"/>
      <c r="B49" s="171"/>
      <c r="C49" s="171" t="s">
        <v>151</v>
      </c>
      <c r="D49" s="171"/>
      <c r="E49" s="171"/>
      <c r="F49" s="171"/>
      <c r="G49" s="8"/>
    </row>
    <row r="50" spans="1:9" s="45" customFormat="1">
      <c r="A50" s="7"/>
      <c r="B50" s="7"/>
      <c r="C50" s="7"/>
      <c r="D50" s="7"/>
      <c r="E50" s="8" t="s">
        <v>156</v>
      </c>
      <c r="F50" s="9"/>
      <c r="G50" s="8"/>
    </row>
    <row r="51" spans="1:9" s="45" customFormat="1" ht="26.25">
      <c r="A51" s="59" t="s">
        <v>32</v>
      </c>
      <c r="B51" s="60" t="s">
        <v>33</v>
      </c>
      <c r="C51" s="141" t="s">
        <v>34</v>
      </c>
      <c r="D51" s="59" t="s">
        <v>35</v>
      </c>
      <c r="E51" s="59" t="s">
        <v>36</v>
      </c>
      <c r="F51" s="59" t="s">
        <v>37</v>
      </c>
      <c r="G51" s="59" t="s">
        <v>38</v>
      </c>
    </row>
    <row r="52" spans="1:9" s="45" customFormat="1">
      <c r="A52" s="21">
        <v>182328</v>
      </c>
      <c r="B52" s="20" t="s">
        <v>150</v>
      </c>
      <c r="C52" s="138" t="s">
        <v>41</v>
      </c>
      <c r="D52" s="23" t="s">
        <v>177</v>
      </c>
      <c r="E52" s="24">
        <v>0</v>
      </c>
      <c r="F52" s="25">
        <v>0</v>
      </c>
      <c r="G52" s="24">
        <v>0</v>
      </c>
      <c r="I52" s="164"/>
    </row>
    <row r="53" spans="1:9" s="45" customFormat="1">
      <c r="A53" s="26"/>
      <c r="B53" s="20" t="s">
        <v>150</v>
      </c>
      <c r="C53" s="139"/>
      <c r="D53" s="23" t="s">
        <v>178</v>
      </c>
      <c r="E53" s="24">
        <v>0</v>
      </c>
      <c r="F53" s="25">
        <v>0</v>
      </c>
      <c r="G53" s="24">
        <v>0</v>
      </c>
      <c r="I53" s="164"/>
    </row>
    <row r="54" spans="1:9" s="45" customFormat="1">
      <c r="A54" s="26"/>
      <c r="B54" s="20" t="s">
        <v>150</v>
      </c>
      <c r="C54" s="140"/>
      <c r="D54" s="23" t="s">
        <v>179</v>
      </c>
      <c r="E54" s="24">
        <v>0</v>
      </c>
      <c r="F54" s="25">
        <v>0</v>
      </c>
      <c r="G54" s="24">
        <v>0</v>
      </c>
      <c r="I54" s="164"/>
    </row>
    <row r="55" spans="1:9" s="45" customFormat="1">
      <c r="A55" s="26"/>
      <c r="B55" s="165"/>
      <c r="C55" s="142"/>
      <c r="D55" s="51"/>
      <c r="E55" s="53"/>
      <c r="F55" s="54">
        <f>SUM(F52:F54)</f>
        <v>0</v>
      </c>
      <c r="G55" s="53"/>
    </row>
    <row r="56" spans="1:9" s="45" customFormat="1">
      <c r="A56" s="26"/>
      <c r="B56" s="20" t="s">
        <v>150</v>
      </c>
      <c r="C56" s="138" t="s">
        <v>42</v>
      </c>
      <c r="D56" s="23" t="s">
        <v>177</v>
      </c>
      <c r="E56" s="24">
        <v>0</v>
      </c>
      <c r="F56" s="25">
        <v>0</v>
      </c>
      <c r="G56" s="24">
        <v>0</v>
      </c>
    </row>
    <row r="57" spans="1:9" s="45" customFormat="1">
      <c r="A57" s="26"/>
      <c r="B57" s="20" t="s">
        <v>150</v>
      </c>
      <c r="C57" s="139"/>
      <c r="D57" s="23" t="s">
        <v>178</v>
      </c>
      <c r="E57" s="24">
        <v>0</v>
      </c>
      <c r="F57" s="25">
        <v>0</v>
      </c>
      <c r="G57" s="24">
        <v>0</v>
      </c>
      <c r="I57" s="164"/>
    </row>
    <row r="58" spans="1:9" s="45" customFormat="1">
      <c r="A58" s="26"/>
      <c r="B58" s="20" t="s">
        <v>150</v>
      </c>
      <c r="C58" s="140"/>
      <c r="D58" s="23" t="s">
        <v>179</v>
      </c>
      <c r="E58" s="24">
        <v>0</v>
      </c>
      <c r="F58" s="25">
        <v>0</v>
      </c>
      <c r="G58" s="24">
        <v>0</v>
      </c>
      <c r="I58" s="164"/>
    </row>
    <row r="59" spans="1:9" s="45" customFormat="1">
      <c r="A59" s="29"/>
      <c r="B59" s="51"/>
      <c r="C59" s="137"/>
      <c r="D59" s="51"/>
      <c r="E59" s="53"/>
      <c r="F59" s="54">
        <f>SUM(F56:F58)</f>
        <v>0</v>
      </c>
      <c r="G59" s="53"/>
    </row>
    <row r="60" spans="1:9" s="45" customFormat="1">
      <c r="A60" s="55"/>
      <c r="B60" s="56"/>
      <c r="C60" s="55"/>
      <c r="D60" s="55"/>
      <c r="E60" s="57"/>
      <c r="F60" s="58">
        <f>F55+F59</f>
        <v>0</v>
      </c>
      <c r="G60" s="57"/>
    </row>
    <row r="61" spans="1:9" s="45" customFormat="1">
      <c r="A61" s="21">
        <v>182338</v>
      </c>
      <c r="B61" s="20" t="s">
        <v>147</v>
      </c>
      <c r="C61" s="22" t="s">
        <v>41</v>
      </c>
      <c r="D61" s="23" t="s">
        <v>177</v>
      </c>
      <c r="E61" s="24">
        <v>363167.09</v>
      </c>
      <c r="F61" s="25">
        <v>-47039.31</v>
      </c>
      <c r="G61" s="24">
        <v>316127.78000000003</v>
      </c>
      <c r="I61" s="164"/>
    </row>
    <row r="62" spans="1:9" s="45" customFormat="1">
      <c r="A62" s="26"/>
      <c r="B62" s="20" t="s">
        <v>147</v>
      </c>
      <c r="C62" s="27"/>
      <c r="D62" s="23" t="s">
        <v>178</v>
      </c>
      <c r="E62" s="24">
        <v>316127.78000000003</v>
      </c>
      <c r="F62" s="25">
        <v>-45920.27</v>
      </c>
      <c r="G62" s="24">
        <v>270207.51</v>
      </c>
      <c r="I62" s="164"/>
    </row>
    <row r="63" spans="1:9" s="45" customFormat="1">
      <c r="A63" s="26"/>
      <c r="B63" s="20" t="s">
        <v>147</v>
      </c>
      <c r="C63" s="28"/>
      <c r="D63" s="23" t="s">
        <v>179</v>
      </c>
      <c r="E63" s="24">
        <v>270207.51</v>
      </c>
      <c r="F63" s="25">
        <v>-49096.37</v>
      </c>
      <c r="G63" s="24">
        <v>221111.14</v>
      </c>
      <c r="I63" s="164"/>
    </row>
    <row r="64" spans="1:9" s="45" customFormat="1">
      <c r="A64" s="26"/>
      <c r="B64" s="51"/>
      <c r="C64" s="52"/>
      <c r="D64" s="51"/>
      <c r="E64" s="53"/>
      <c r="F64" s="54">
        <f>SUM(F61:F63)</f>
        <v>-142055.94999999998</v>
      </c>
      <c r="G64" s="53"/>
    </row>
    <row r="65" spans="1:9" s="45" customFormat="1">
      <c r="A65" s="26"/>
      <c r="B65" s="20" t="s">
        <v>147</v>
      </c>
      <c r="C65" s="22" t="s">
        <v>42</v>
      </c>
      <c r="D65" s="23" t="s">
        <v>177</v>
      </c>
      <c r="E65" s="24">
        <v>0</v>
      </c>
      <c r="F65" s="25">
        <v>0</v>
      </c>
      <c r="G65" s="24">
        <v>0</v>
      </c>
    </row>
    <row r="66" spans="1:9" s="45" customFormat="1">
      <c r="A66" s="26"/>
      <c r="B66" s="20" t="s">
        <v>147</v>
      </c>
      <c r="C66" s="27"/>
      <c r="D66" s="23" t="s">
        <v>178</v>
      </c>
      <c r="E66" s="24">
        <v>0</v>
      </c>
      <c r="F66" s="25">
        <v>0</v>
      </c>
      <c r="G66" s="24">
        <v>0</v>
      </c>
      <c r="I66" s="164"/>
    </row>
    <row r="67" spans="1:9" s="45" customFormat="1">
      <c r="A67" s="26"/>
      <c r="B67" s="20" t="s">
        <v>147</v>
      </c>
      <c r="C67" s="28"/>
      <c r="D67" s="23" t="s">
        <v>179</v>
      </c>
      <c r="E67" s="24">
        <v>0</v>
      </c>
      <c r="F67" s="25">
        <v>0</v>
      </c>
      <c r="G67" s="24">
        <v>0</v>
      </c>
      <c r="I67" s="164"/>
    </row>
    <row r="68" spans="1:9" s="45" customFormat="1">
      <c r="A68" s="29"/>
      <c r="B68" s="51"/>
      <c r="C68" s="52"/>
      <c r="D68" s="51"/>
      <c r="E68" s="53"/>
      <c r="F68" s="54">
        <f>SUM(F65:F67)</f>
        <v>0</v>
      </c>
      <c r="G68" s="53"/>
    </row>
    <row r="69" spans="1:9" s="45" customFormat="1">
      <c r="A69" s="55"/>
      <c r="B69" s="56"/>
      <c r="C69" s="55"/>
      <c r="D69" s="55"/>
      <c r="E69" s="57"/>
      <c r="F69" s="58">
        <f>F64+F68</f>
        <v>-142055.94999999998</v>
      </c>
      <c r="G69" s="57"/>
    </row>
    <row r="70" spans="1:9" s="45" customFormat="1">
      <c r="A70" s="7"/>
      <c r="B70" s="7"/>
      <c r="C70" s="7"/>
      <c r="D70" s="7"/>
      <c r="E70" s="8" t="s">
        <v>157</v>
      </c>
      <c r="F70" s="9"/>
      <c r="G70" s="8"/>
    </row>
    <row r="71" spans="1:9" s="45" customFormat="1" ht="26.25">
      <c r="A71" s="59" t="s">
        <v>32</v>
      </c>
      <c r="B71" s="60" t="s">
        <v>33</v>
      </c>
      <c r="C71" s="141" t="s">
        <v>34</v>
      </c>
      <c r="D71" s="59" t="s">
        <v>35</v>
      </c>
      <c r="E71" s="59" t="s">
        <v>36</v>
      </c>
      <c r="F71" s="59" t="s">
        <v>37</v>
      </c>
      <c r="G71" s="59" t="s">
        <v>38</v>
      </c>
    </row>
    <row r="72" spans="1:9" s="45" customFormat="1">
      <c r="A72" s="21">
        <v>254328</v>
      </c>
      <c r="B72" s="20" t="s">
        <v>158</v>
      </c>
      <c r="C72" s="138" t="s">
        <v>41</v>
      </c>
      <c r="D72" s="23" t="s">
        <v>177</v>
      </c>
      <c r="E72" s="24">
        <v>-783775.5</v>
      </c>
      <c r="F72" s="25">
        <v>150643.04999999999</v>
      </c>
      <c r="G72" s="24">
        <v>-633132.44999999995</v>
      </c>
    </row>
    <row r="73" spans="1:9" s="45" customFormat="1">
      <c r="A73" s="26"/>
      <c r="B73" s="20" t="s">
        <v>158</v>
      </c>
      <c r="C73" s="139"/>
      <c r="D73" s="23" t="s">
        <v>178</v>
      </c>
      <c r="E73" s="24">
        <v>-633132.44999999995</v>
      </c>
      <c r="F73" s="25">
        <v>130177.08</v>
      </c>
      <c r="G73" s="24">
        <v>-502955.37</v>
      </c>
    </row>
    <row r="74" spans="1:9" s="45" customFormat="1">
      <c r="A74" s="26"/>
      <c r="B74" s="20" t="s">
        <v>158</v>
      </c>
      <c r="C74" s="140"/>
      <c r="D74" s="23" t="s">
        <v>179</v>
      </c>
      <c r="E74" s="24">
        <v>-502955.37</v>
      </c>
      <c r="F74" s="25">
        <v>133725.26</v>
      </c>
      <c r="G74" s="24">
        <v>-369230.11</v>
      </c>
    </row>
    <row r="75" spans="1:9" s="45" customFormat="1">
      <c r="A75" s="26"/>
      <c r="B75" s="165"/>
      <c r="C75" s="142"/>
      <c r="D75" s="51"/>
      <c r="E75" s="53"/>
      <c r="F75" s="54">
        <f>SUM(F72:F74)</f>
        <v>414545.39</v>
      </c>
      <c r="G75" s="53"/>
    </row>
    <row r="76" spans="1:9" s="45" customFormat="1">
      <c r="A76" s="26"/>
      <c r="B76" s="20" t="s">
        <v>158</v>
      </c>
      <c r="C76" s="138" t="s">
        <v>42</v>
      </c>
      <c r="D76" s="23" t="s">
        <v>177</v>
      </c>
      <c r="E76" s="24">
        <v>-96385.55</v>
      </c>
      <c r="F76" s="25">
        <v>33617.65</v>
      </c>
      <c r="G76" s="24">
        <v>-62767.9</v>
      </c>
    </row>
    <row r="77" spans="1:9" s="45" customFormat="1">
      <c r="A77" s="26"/>
      <c r="B77" s="20" t="s">
        <v>158</v>
      </c>
      <c r="C77" s="139"/>
      <c r="D77" s="23" t="s">
        <v>178</v>
      </c>
      <c r="E77" s="24">
        <v>-62767.9</v>
      </c>
      <c r="F77" s="25">
        <v>16374.01</v>
      </c>
      <c r="G77" s="24">
        <v>-46393.89</v>
      </c>
    </row>
    <row r="78" spans="1:9" s="45" customFormat="1">
      <c r="A78" s="26"/>
      <c r="B78" s="20" t="s">
        <v>158</v>
      </c>
      <c r="C78" s="140"/>
      <c r="D78" s="23" t="s">
        <v>179</v>
      </c>
      <c r="E78" s="24">
        <v>-46393.89</v>
      </c>
      <c r="F78" s="25">
        <v>11125.26</v>
      </c>
      <c r="G78" s="24">
        <v>-35268.629999999997</v>
      </c>
    </row>
    <row r="79" spans="1:9" s="45" customFormat="1">
      <c r="A79" s="29"/>
      <c r="B79" s="51"/>
      <c r="C79" s="137"/>
      <c r="D79" s="51"/>
      <c r="E79" s="53"/>
      <c r="F79" s="54">
        <f>SUM(F76:F78)</f>
        <v>61116.920000000006</v>
      </c>
      <c r="G79" s="53"/>
    </row>
    <row r="80" spans="1:9" s="45" customFormat="1">
      <c r="A80" s="55"/>
      <c r="B80" s="56"/>
      <c r="C80" s="55"/>
      <c r="D80" s="55"/>
      <c r="E80" s="57"/>
      <c r="F80" s="58">
        <f>F75+F79</f>
        <v>475662.31</v>
      </c>
      <c r="G80" s="57"/>
    </row>
    <row r="81" spans="1:12" s="45" customFormat="1">
      <c r="A81" s="21">
        <v>254338</v>
      </c>
      <c r="B81" s="20" t="s">
        <v>159</v>
      </c>
      <c r="C81" s="22" t="s">
        <v>41</v>
      </c>
      <c r="D81" s="23" t="s">
        <v>177</v>
      </c>
      <c r="E81" s="24">
        <v>0</v>
      </c>
      <c r="F81" s="25">
        <v>0</v>
      </c>
      <c r="G81" s="24">
        <v>0</v>
      </c>
    </row>
    <row r="82" spans="1:12" s="45" customFormat="1">
      <c r="A82" s="26"/>
      <c r="B82" s="20" t="s">
        <v>159</v>
      </c>
      <c r="C82" s="27"/>
      <c r="D82" s="23" t="s">
        <v>178</v>
      </c>
      <c r="E82" s="24">
        <v>0</v>
      </c>
      <c r="F82" s="25">
        <v>0</v>
      </c>
      <c r="G82" s="24">
        <v>0</v>
      </c>
    </row>
    <row r="83" spans="1:12" s="45" customFormat="1">
      <c r="A83" s="26"/>
      <c r="B83" s="20" t="s">
        <v>159</v>
      </c>
      <c r="C83" s="28"/>
      <c r="D83" s="23" t="s">
        <v>179</v>
      </c>
      <c r="E83" s="24">
        <v>0</v>
      </c>
      <c r="F83" s="25">
        <v>0</v>
      </c>
      <c r="G83" s="24">
        <v>0</v>
      </c>
    </row>
    <row r="84" spans="1:12" s="45" customFormat="1">
      <c r="A84" s="26"/>
      <c r="B84" s="51"/>
      <c r="C84" s="52"/>
      <c r="D84" s="51"/>
      <c r="E84" s="53"/>
      <c r="F84" s="54">
        <f>SUM(F81:F83)</f>
        <v>0</v>
      </c>
      <c r="G84" s="53"/>
    </row>
    <row r="85" spans="1:12" s="45" customFormat="1">
      <c r="A85" s="26"/>
      <c r="B85" s="20" t="s">
        <v>159</v>
      </c>
      <c r="C85" s="22" t="s">
        <v>42</v>
      </c>
      <c r="D85" s="23" t="s">
        <v>177</v>
      </c>
      <c r="E85" s="24">
        <v>-102366.58</v>
      </c>
      <c r="F85" s="25">
        <v>20242.240000000002</v>
      </c>
      <c r="G85" s="24">
        <v>-82124.34</v>
      </c>
    </row>
    <row r="86" spans="1:12" s="45" customFormat="1">
      <c r="A86" s="26"/>
      <c r="B86" s="20" t="s">
        <v>159</v>
      </c>
      <c r="C86" s="27"/>
      <c r="D86" s="23" t="s">
        <v>178</v>
      </c>
      <c r="E86" s="24">
        <v>-82124.34</v>
      </c>
      <c r="F86" s="25">
        <v>12790.85</v>
      </c>
      <c r="G86" s="24">
        <v>-69333.490000000005</v>
      </c>
    </row>
    <row r="87" spans="1:12" s="45" customFormat="1">
      <c r="A87" s="26"/>
      <c r="B87" s="20" t="s">
        <v>159</v>
      </c>
      <c r="C87" s="28"/>
      <c r="D87" s="23" t="s">
        <v>179</v>
      </c>
      <c r="E87" s="24">
        <v>-69333.490000000005</v>
      </c>
      <c r="F87" s="25">
        <v>11983.87</v>
      </c>
      <c r="G87" s="24">
        <v>-57349.62</v>
      </c>
    </row>
    <row r="88" spans="1:12" s="45" customFormat="1">
      <c r="A88" s="29"/>
      <c r="B88" s="51"/>
      <c r="C88" s="52"/>
      <c r="D88" s="51"/>
      <c r="E88" s="53"/>
      <c r="F88" s="54">
        <f>SUM(F85:F87)</f>
        <v>45016.960000000006</v>
      </c>
      <c r="G88" s="53"/>
    </row>
    <row r="89" spans="1:12" s="45" customFormat="1">
      <c r="A89" s="55"/>
      <c r="B89" s="56"/>
      <c r="C89" s="55"/>
      <c r="D89" s="55"/>
      <c r="E89" s="57"/>
      <c r="F89" s="58">
        <f>F84+F88</f>
        <v>45016.960000000006</v>
      </c>
      <c r="G89" s="57"/>
    </row>
    <row r="90" spans="1:12">
      <c r="A90" s="45"/>
      <c r="B90" s="45"/>
      <c r="C90" s="45"/>
      <c r="D90" s="45"/>
      <c r="E90" s="45"/>
      <c r="F90" s="45"/>
      <c r="G90" s="45"/>
    </row>
    <row r="91" spans="1:12">
      <c r="A91" s="19" t="s">
        <v>128</v>
      </c>
      <c r="B91" s="18"/>
      <c r="C91" s="6" t="s">
        <v>138</v>
      </c>
      <c r="D91" s="18"/>
      <c r="E91" s="18"/>
      <c r="F91" s="18"/>
      <c r="G91" s="18"/>
    </row>
    <row r="92" spans="1:12">
      <c r="A92" s="18"/>
      <c r="B92" s="18"/>
      <c r="C92" s="18"/>
      <c r="D92" s="18"/>
      <c r="E92" s="18"/>
      <c r="F92" s="18"/>
      <c r="G92" s="18"/>
    </row>
    <row r="93" spans="1:12" ht="26.25">
      <c r="A93" s="59" t="s">
        <v>32</v>
      </c>
      <c r="B93" s="60" t="s">
        <v>33</v>
      </c>
      <c r="C93" s="61" t="s">
        <v>34</v>
      </c>
      <c r="D93" s="59" t="s">
        <v>35</v>
      </c>
      <c r="E93" s="59" t="s">
        <v>36</v>
      </c>
      <c r="F93" s="59" t="s">
        <v>37</v>
      </c>
      <c r="G93" s="59" t="s">
        <v>38</v>
      </c>
      <c r="I93" s="11" t="s">
        <v>48</v>
      </c>
    </row>
    <row r="94" spans="1:12">
      <c r="A94" s="21" t="s">
        <v>45</v>
      </c>
      <c r="B94" s="20" t="s">
        <v>46</v>
      </c>
      <c r="C94" s="22" t="s">
        <v>41</v>
      </c>
      <c r="D94" s="23" t="s">
        <v>177</v>
      </c>
      <c r="E94" s="24">
        <v>-490005.91</v>
      </c>
      <c r="F94" s="25">
        <v>-85664.37</v>
      </c>
      <c r="G94" s="24">
        <v>-575670.28</v>
      </c>
      <c r="I94" s="10">
        <f>(G8+G17+G30+G39+G182+G52+G61+G72+G81)*-0.21</f>
        <v>-575670.28049999999</v>
      </c>
      <c r="J94" s="12">
        <f>G94-I94</f>
        <v>4.9999996554106474E-4</v>
      </c>
    </row>
    <row r="95" spans="1:12" s="16" customFormat="1">
      <c r="A95" s="26"/>
      <c r="B95" s="20" t="s">
        <v>46</v>
      </c>
      <c r="C95" s="27"/>
      <c r="D95" s="23" t="s">
        <v>178</v>
      </c>
      <c r="E95" s="24">
        <v>-575670.28</v>
      </c>
      <c r="F95" s="25">
        <v>-88333.09</v>
      </c>
      <c r="G95" s="24">
        <v>-664003.37</v>
      </c>
      <c r="H95"/>
      <c r="I95" s="15">
        <f>(G9+G18+G31+G40+G183+G53+G62+G73+G82)*-0.21</f>
        <v>-664003.37009999994</v>
      </c>
      <c r="J95" s="12">
        <f>G95-I95</f>
        <v>9.9999946542084217E-5</v>
      </c>
      <c r="K95" s="215"/>
      <c r="L95" s="215"/>
    </row>
    <row r="96" spans="1:12" s="16" customFormat="1" ht="14.45" customHeight="1">
      <c r="A96" s="26"/>
      <c r="B96" s="20" t="s">
        <v>46</v>
      </c>
      <c r="C96" s="28"/>
      <c r="D96" s="23" t="s">
        <v>179</v>
      </c>
      <c r="E96" s="24">
        <v>-664003.37</v>
      </c>
      <c r="F96" s="25">
        <v>77285.63</v>
      </c>
      <c r="G96" s="24">
        <v>-586717.74</v>
      </c>
      <c r="H96"/>
      <c r="I96" s="15">
        <f>(G10+G19+G32+G41+G184+G54+G63+G74+G83)*-0.21</f>
        <v>-586717.74</v>
      </c>
      <c r="J96" s="12">
        <f>G96-I96</f>
        <v>0</v>
      </c>
      <c r="K96" s="215"/>
      <c r="L96" s="215"/>
    </row>
    <row r="97" spans="1:19">
      <c r="A97" s="26"/>
      <c r="B97" s="51"/>
      <c r="C97" s="52"/>
      <c r="D97" s="51"/>
      <c r="E97" s="53"/>
      <c r="F97" s="54">
        <f>SUM(F94:F96)</f>
        <v>-96711.829999999987</v>
      </c>
      <c r="G97" s="53"/>
      <c r="K97" s="215"/>
      <c r="L97" s="215"/>
    </row>
    <row r="98" spans="1:19">
      <c r="A98" s="26"/>
      <c r="B98" s="20" t="s">
        <v>46</v>
      </c>
      <c r="C98" s="22" t="s">
        <v>42</v>
      </c>
      <c r="D98" s="23" t="s">
        <v>177</v>
      </c>
      <c r="E98" s="24">
        <v>322333.38</v>
      </c>
      <c r="F98" s="25">
        <v>-24541.599999999999</v>
      </c>
      <c r="G98" s="24">
        <v>297791.78000000003</v>
      </c>
      <c r="I98" s="10">
        <f>(G12+G21+G34+G43+G186+G56+G65+G76+G85)*-0.21</f>
        <v>297791.81880000001</v>
      </c>
      <c r="J98" s="12">
        <f>G98-I98</f>
        <v>-3.8799999980255961E-2</v>
      </c>
      <c r="K98" s="12"/>
      <c r="L98" s="12"/>
    </row>
    <row r="99" spans="1:19">
      <c r="A99" s="26"/>
      <c r="B99" s="20" t="s">
        <v>46</v>
      </c>
      <c r="C99" s="27"/>
      <c r="D99" s="23" t="s">
        <v>178</v>
      </c>
      <c r="E99" s="24">
        <v>297791.78000000003</v>
      </c>
      <c r="F99" s="25">
        <v>-66805.25</v>
      </c>
      <c r="G99" s="24">
        <v>230986.53</v>
      </c>
      <c r="I99" s="15">
        <f>(G13+G22+G35+G44+G187+G57+G66+G77+G86)*-0.21</f>
        <v>230986.56419999999</v>
      </c>
      <c r="J99" s="12">
        <f>G99-I99</f>
        <v>-3.4199999994598329E-2</v>
      </c>
      <c r="K99" s="215"/>
      <c r="L99" s="215"/>
    </row>
    <row r="100" spans="1:19">
      <c r="A100" s="26"/>
      <c r="B100" s="20" t="s">
        <v>46</v>
      </c>
      <c r="C100" s="28"/>
      <c r="D100" s="23" t="s">
        <v>179</v>
      </c>
      <c r="E100" s="24">
        <v>230986.53</v>
      </c>
      <c r="F100" s="25">
        <v>-20987.84</v>
      </c>
      <c r="G100" s="24">
        <v>209998.69</v>
      </c>
      <c r="I100" s="15">
        <f>(G14+G23+G36+G45+G188+G58+G67+G78+G87)*-0.21</f>
        <v>209998.72530000002</v>
      </c>
      <c r="J100" s="12">
        <f>G100-I100</f>
        <v>-3.5300000017741695E-2</v>
      </c>
      <c r="K100" s="215"/>
      <c r="L100" s="215"/>
    </row>
    <row r="101" spans="1:19">
      <c r="A101" s="29"/>
      <c r="B101" s="51"/>
      <c r="C101" s="52"/>
      <c r="D101" s="51"/>
      <c r="E101" s="53"/>
      <c r="F101" s="54">
        <f>SUM(F98:F100)</f>
        <v>-112334.69</v>
      </c>
      <c r="G101" s="53"/>
      <c r="K101" s="215"/>
      <c r="L101" s="215"/>
    </row>
    <row r="102" spans="1:19">
      <c r="A102" s="55"/>
      <c r="B102" s="56"/>
      <c r="C102" s="55"/>
      <c r="D102" s="55"/>
      <c r="E102" s="57"/>
      <c r="F102" s="58">
        <f>F97+F101</f>
        <v>-209046.52</v>
      </c>
      <c r="G102" s="57"/>
    </row>
    <row r="103" spans="1:19" s="45" customFormat="1">
      <c r="A103" s="152"/>
      <c r="B103" s="153"/>
      <c r="C103" s="152"/>
      <c r="D103" s="152"/>
      <c r="E103" s="154"/>
      <c r="F103" s="155"/>
      <c r="G103" s="154"/>
    </row>
    <row r="104" spans="1:19" ht="15.75">
      <c r="A104" s="214" t="s">
        <v>47</v>
      </c>
      <c r="B104" s="214"/>
      <c r="C104" s="214"/>
      <c r="D104" s="214"/>
      <c r="E104" s="214"/>
      <c r="F104" s="214"/>
      <c r="G104" s="214"/>
    </row>
    <row r="105" spans="1:19">
      <c r="A105" s="18"/>
      <c r="B105" s="18"/>
      <c r="C105" s="18"/>
      <c r="D105" s="18"/>
      <c r="E105" s="18"/>
      <c r="F105" s="18"/>
      <c r="G105" s="18"/>
      <c r="S105" s="45"/>
    </row>
    <row r="106" spans="1:19">
      <c r="A106" s="19" t="s">
        <v>128</v>
      </c>
      <c r="B106" s="18"/>
      <c r="C106" s="6" t="s">
        <v>139</v>
      </c>
      <c r="D106" s="18"/>
      <c r="E106" s="18"/>
      <c r="F106" s="18"/>
      <c r="G106" s="18"/>
    </row>
    <row r="107" spans="1:19">
      <c r="A107" s="18"/>
      <c r="B107" s="18"/>
      <c r="C107" s="18"/>
      <c r="D107" s="18"/>
      <c r="E107" s="18"/>
      <c r="F107" s="18"/>
      <c r="G107" s="18"/>
    </row>
    <row r="108" spans="1:19" ht="26.25">
      <c r="A108" s="59" t="s">
        <v>32</v>
      </c>
      <c r="B108" s="60" t="s">
        <v>33</v>
      </c>
      <c r="C108" s="61" t="s">
        <v>34</v>
      </c>
      <c r="D108" s="59" t="s">
        <v>35</v>
      </c>
      <c r="E108" s="59" t="s">
        <v>36</v>
      </c>
      <c r="F108" s="59" t="s">
        <v>37</v>
      </c>
      <c r="G108" s="59" t="s">
        <v>38</v>
      </c>
    </row>
    <row r="109" spans="1:19">
      <c r="A109" s="21" t="s">
        <v>50</v>
      </c>
      <c r="B109" s="20" t="s">
        <v>51</v>
      </c>
      <c r="C109" s="22" t="s">
        <v>41</v>
      </c>
      <c r="D109" s="23" t="s">
        <v>177</v>
      </c>
      <c r="E109" s="24">
        <v>617587.92000000004</v>
      </c>
      <c r="F109" s="25">
        <v>-384174.24</v>
      </c>
      <c r="G109" s="24">
        <v>233413.68</v>
      </c>
    </row>
    <row r="110" spans="1:19">
      <c r="A110" s="26"/>
      <c r="B110" s="20" t="s">
        <v>51</v>
      </c>
      <c r="C110" s="27"/>
      <c r="D110" s="23" t="s">
        <v>178</v>
      </c>
      <c r="E110" s="24">
        <v>233413.68</v>
      </c>
      <c r="F110" s="25">
        <v>-83636.95</v>
      </c>
      <c r="G110" s="24">
        <v>149776.73000000001</v>
      </c>
    </row>
    <row r="111" spans="1:19" s="45" customFormat="1">
      <c r="A111" s="26"/>
      <c r="B111" s="20" t="s">
        <v>51</v>
      </c>
      <c r="C111" s="28"/>
      <c r="D111" s="23" t="s">
        <v>179</v>
      </c>
      <c r="E111" s="24">
        <v>149776.73000000001</v>
      </c>
      <c r="F111" s="25">
        <v>222668.26</v>
      </c>
      <c r="G111" s="24">
        <v>372444.99</v>
      </c>
      <c r="H111"/>
      <c r="I111"/>
    </row>
    <row r="112" spans="1:19">
      <c r="A112" s="29"/>
      <c r="B112" s="55"/>
      <c r="C112" s="62"/>
      <c r="D112" s="55"/>
      <c r="E112" s="57"/>
      <c r="F112" s="58">
        <f>SUM(F109:F111)</f>
        <v>-245142.93</v>
      </c>
      <c r="G112" s="57"/>
    </row>
    <row r="113" spans="1:9">
      <c r="A113" s="21" t="s">
        <v>52</v>
      </c>
      <c r="B113" s="20" t="s">
        <v>53</v>
      </c>
      <c r="C113" s="22" t="s">
        <v>41</v>
      </c>
      <c r="D113" s="23" t="s">
        <v>177</v>
      </c>
      <c r="E113" s="24">
        <v>-179180.44</v>
      </c>
      <c r="F113" s="25">
        <v>84691.93</v>
      </c>
      <c r="G113" s="24">
        <v>-94488.51</v>
      </c>
    </row>
    <row r="114" spans="1:9">
      <c r="A114" s="26"/>
      <c r="B114" s="20" t="s">
        <v>53</v>
      </c>
      <c r="C114" s="27"/>
      <c r="D114" s="23" t="s">
        <v>178</v>
      </c>
      <c r="E114" s="24">
        <v>-94488.51</v>
      </c>
      <c r="F114" s="25">
        <v>-247367</v>
      </c>
      <c r="G114" s="24">
        <v>-341855.51</v>
      </c>
    </row>
    <row r="115" spans="1:9" s="45" customFormat="1">
      <c r="A115" s="26"/>
      <c r="B115" s="20" t="s">
        <v>53</v>
      </c>
      <c r="C115" s="28"/>
      <c r="D115" s="23" t="s">
        <v>179</v>
      </c>
      <c r="E115" s="24">
        <v>-341855.51</v>
      </c>
      <c r="F115" s="25">
        <v>235263.62</v>
      </c>
      <c r="G115" s="24">
        <v>-106591.89</v>
      </c>
      <c r="H115"/>
      <c r="I115"/>
    </row>
    <row r="116" spans="1:9">
      <c r="A116" s="29"/>
      <c r="B116" s="55"/>
      <c r="C116" s="62"/>
      <c r="D116" s="55"/>
      <c r="E116" s="57"/>
      <c r="F116" s="58">
        <f>SUM(F113:F115)</f>
        <v>72588.549999999988</v>
      </c>
      <c r="G116" s="57"/>
    </row>
    <row r="117" spans="1:9">
      <c r="A117" s="21" t="s">
        <v>54</v>
      </c>
      <c r="B117" s="20" t="s">
        <v>51</v>
      </c>
      <c r="C117" s="22" t="s">
        <v>42</v>
      </c>
      <c r="D117" s="23" t="s">
        <v>177</v>
      </c>
      <c r="E117" s="24">
        <v>1463577.33</v>
      </c>
      <c r="F117" s="25">
        <v>-106129.45</v>
      </c>
      <c r="G117" s="24">
        <v>1357447.88</v>
      </c>
    </row>
    <row r="118" spans="1:9">
      <c r="A118" s="26"/>
      <c r="B118" s="20" t="s">
        <v>51</v>
      </c>
      <c r="C118" s="27"/>
      <c r="D118" s="23" t="s">
        <v>178</v>
      </c>
      <c r="E118" s="24">
        <v>1357447.88</v>
      </c>
      <c r="F118" s="25">
        <v>-241639.43</v>
      </c>
      <c r="G118" s="24">
        <v>1115808.45</v>
      </c>
    </row>
    <row r="119" spans="1:9" s="45" customFormat="1">
      <c r="A119" s="26"/>
      <c r="B119" s="20" t="s">
        <v>51</v>
      </c>
      <c r="C119" s="28"/>
      <c r="D119" s="23" t="s">
        <v>179</v>
      </c>
      <c r="E119" s="24">
        <v>1115808.45</v>
      </c>
      <c r="F119" s="25">
        <v>-62514.46</v>
      </c>
      <c r="G119" s="24">
        <v>1053293.99</v>
      </c>
      <c r="H119"/>
      <c r="I119"/>
    </row>
    <row r="120" spans="1:9">
      <c r="A120" s="29"/>
      <c r="B120" s="55"/>
      <c r="C120" s="62"/>
      <c r="D120" s="55"/>
      <c r="E120" s="57"/>
      <c r="F120" s="58">
        <f>SUM(F117:F119)</f>
        <v>-410283.34</v>
      </c>
      <c r="G120" s="57"/>
    </row>
    <row r="121" spans="1:9">
      <c r="A121" s="21" t="s">
        <v>55</v>
      </c>
      <c r="B121" s="20" t="s">
        <v>53</v>
      </c>
      <c r="C121" s="22" t="s">
        <v>42</v>
      </c>
      <c r="D121" s="23" t="s">
        <v>177</v>
      </c>
      <c r="E121" s="24">
        <v>289627.43</v>
      </c>
      <c r="F121" s="25">
        <v>40951.94</v>
      </c>
      <c r="G121" s="24">
        <v>330579.37</v>
      </c>
    </row>
    <row r="122" spans="1:9">
      <c r="A122" s="26"/>
      <c r="B122" s="20" t="s">
        <v>53</v>
      </c>
      <c r="C122" s="27"/>
      <c r="D122" s="23" t="s">
        <v>178</v>
      </c>
      <c r="E122" s="24">
        <v>330579.37</v>
      </c>
      <c r="F122" s="25">
        <v>-49195.54</v>
      </c>
      <c r="G122" s="24">
        <v>281383.83</v>
      </c>
    </row>
    <row r="123" spans="1:9" s="45" customFormat="1">
      <c r="A123" s="26"/>
      <c r="B123" s="20" t="s">
        <v>53</v>
      </c>
      <c r="C123" s="28"/>
      <c r="D123" s="23" t="s">
        <v>179</v>
      </c>
      <c r="E123" s="24">
        <v>281383.83</v>
      </c>
      <c r="F123" s="25">
        <v>-15893.5</v>
      </c>
      <c r="G123" s="24">
        <v>265490.33</v>
      </c>
      <c r="H123"/>
      <c r="I123"/>
    </row>
    <row r="124" spans="1:9">
      <c r="A124" s="29"/>
      <c r="B124" s="55"/>
      <c r="C124" s="62"/>
      <c r="D124" s="55"/>
      <c r="E124" s="57"/>
      <c r="F124" s="58">
        <f>SUM(F121:F123)</f>
        <v>-24137.1</v>
      </c>
      <c r="G124" s="57"/>
    </row>
    <row r="125" spans="1:9" s="45" customFormat="1">
      <c r="A125" s="172"/>
      <c r="B125" s="152"/>
      <c r="C125" s="7"/>
      <c r="D125" s="152"/>
      <c r="E125" s="154"/>
      <c r="F125" s="155"/>
      <c r="G125" s="154"/>
    </row>
    <row r="126" spans="1:9" s="45" customFormat="1">
      <c r="A126" s="172"/>
      <c r="B126" s="152"/>
      <c r="C126" s="150" t="s">
        <v>154</v>
      </c>
      <c r="D126" s="152"/>
      <c r="E126" s="154"/>
      <c r="F126" s="155"/>
      <c r="G126" s="154"/>
    </row>
    <row r="127" spans="1:9" s="45" customFormat="1">
      <c r="A127" s="172"/>
      <c r="B127" s="152"/>
      <c r="C127" s="7"/>
      <c r="D127" s="152"/>
      <c r="E127" s="154"/>
      <c r="F127" s="155"/>
      <c r="G127" s="154"/>
    </row>
    <row r="128" spans="1:9" s="45" customFormat="1" ht="26.25">
      <c r="A128" s="59" t="s">
        <v>32</v>
      </c>
      <c r="B128" s="60" t="s">
        <v>33</v>
      </c>
      <c r="C128" s="61" t="s">
        <v>34</v>
      </c>
      <c r="D128" s="59" t="s">
        <v>35</v>
      </c>
      <c r="E128" s="59" t="s">
        <v>36</v>
      </c>
      <c r="F128" s="59" t="s">
        <v>37</v>
      </c>
      <c r="G128" s="59" t="s">
        <v>38</v>
      </c>
    </row>
    <row r="129" spans="1:7" s="45" customFormat="1">
      <c r="A129" s="21">
        <v>456329</v>
      </c>
      <c r="B129" s="20" t="s">
        <v>152</v>
      </c>
      <c r="C129" s="22" t="s">
        <v>41</v>
      </c>
      <c r="D129" s="23" t="s">
        <v>177</v>
      </c>
      <c r="E129" s="24">
        <v>-652119.66</v>
      </c>
      <c r="F129" s="25">
        <v>-151822.82</v>
      </c>
      <c r="G129" s="24">
        <v>-803942.48</v>
      </c>
    </row>
    <row r="130" spans="1:7" s="45" customFormat="1">
      <c r="A130" s="26"/>
      <c r="B130" s="20" t="s">
        <v>152</v>
      </c>
      <c r="C130" s="27"/>
      <c r="D130" s="23" t="s">
        <v>178</v>
      </c>
      <c r="E130" s="24">
        <v>-803942.48</v>
      </c>
      <c r="F130" s="25">
        <v>-131123.03</v>
      </c>
      <c r="G130" s="24">
        <v>-935065.51</v>
      </c>
    </row>
    <row r="131" spans="1:7" s="45" customFormat="1">
      <c r="A131" s="26"/>
      <c r="B131" s="20" t="s">
        <v>152</v>
      </c>
      <c r="C131" s="28"/>
      <c r="D131" s="23" t="s">
        <v>179</v>
      </c>
      <c r="E131" s="24">
        <v>-935065.51</v>
      </c>
      <c r="F131" s="25">
        <v>-134451.48000000001</v>
      </c>
      <c r="G131" s="24">
        <v>-1069516.99</v>
      </c>
    </row>
    <row r="132" spans="1:7" s="45" customFormat="1">
      <c r="A132" s="29"/>
      <c r="B132" s="55"/>
      <c r="C132" s="62"/>
      <c r="D132" s="55"/>
      <c r="E132" s="57"/>
      <c r="F132" s="58">
        <f>SUM(F129:F131)</f>
        <v>-417397.32999999996</v>
      </c>
      <c r="G132" s="57"/>
    </row>
    <row r="133" spans="1:7" s="45" customFormat="1">
      <c r="A133" s="21">
        <v>456339</v>
      </c>
      <c r="B133" s="20" t="s">
        <v>153</v>
      </c>
      <c r="C133" s="22" t="s">
        <v>41</v>
      </c>
      <c r="D133" s="23" t="s">
        <v>177</v>
      </c>
      <c r="E133" s="24">
        <v>152703.29999999999</v>
      </c>
      <c r="F133" s="25">
        <v>47604.92</v>
      </c>
      <c r="G133" s="24">
        <v>200308.22</v>
      </c>
    </row>
    <row r="134" spans="1:7" s="45" customFormat="1">
      <c r="A134" s="26"/>
      <c r="B134" s="20" t="s">
        <v>153</v>
      </c>
      <c r="C134" s="27"/>
      <c r="D134" s="23" t="s">
        <v>178</v>
      </c>
      <c r="E134" s="24">
        <v>200308.22</v>
      </c>
      <c r="F134" s="25">
        <v>46408.480000000003</v>
      </c>
      <c r="G134" s="24">
        <v>246716.7</v>
      </c>
    </row>
    <row r="135" spans="1:7" s="45" customFormat="1">
      <c r="A135" s="26"/>
      <c r="B135" s="20" t="s">
        <v>153</v>
      </c>
      <c r="C135" s="28"/>
      <c r="D135" s="23" t="s">
        <v>179</v>
      </c>
      <c r="E135" s="24">
        <v>246716.7</v>
      </c>
      <c r="F135" s="25">
        <v>49505.46</v>
      </c>
      <c r="G135" s="24">
        <v>296222.15999999997</v>
      </c>
    </row>
    <row r="136" spans="1:7" s="45" customFormat="1">
      <c r="A136" s="29"/>
      <c r="B136" s="55"/>
      <c r="C136" s="62"/>
      <c r="D136" s="55"/>
      <c r="E136" s="57"/>
      <c r="F136" s="58">
        <f>SUM(F133:F135)</f>
        <v>143518.85999999999</v>
      </c>
      <c r="G136" s="57"/>
    </row>
    <row r="137" spans="1:7" s="45" customFormat="1">
      <c r="A137" s="21">
        <v>495329</v>
      </c>
      <c r="B137" s="20" t="s">
        <v>152</v>
      </c>
      <c r="C137" s="22" t="s">
        <v>42</v>
      </c>
      <c r="D137" s="23" t="s">
        <v>177</v>
      </c>
      <c r="E137" s="24">
        <v>-225693.47</v>
      </c>
      <c r="F137" s="25">
        <v>-33750.17</v>
      </c>
      <c r="G137" s="24">
        <v>-259443.64</v>
      </c>
    </row>
    <row r="138" spans="1:7" s="45" customFormat="1">
      <c r="A138" s="26"/>
      <c r="B138" s="20" t="s">
        <v>152</v>
      </c>
      <c r="C138" s="27"/>
      <c r="D138" s="23" t="s">
        <v>178</v>
      </c>
      <c r="E138" s="24">
        <v>-259443.64</v>
      </c>
      <c r="F138" s="25">
        <v>-16464.900000000001</v>
      </c>
      <c r="G138" s="24">
        <v>-275908.53999999998</v>
      </c>
    </row>
    <row r="139" spans="1:7" s="45" customFormat="1">
      <c r="A139" s="26"/>
      <c r="B139" s="20" t="s">
        <v>152</v>
      </c>
      <c r="C139" s="28"/>
      <c r="D139" s="23" t="s">
        <v>179</v>
      </c>
      <c r="E139" s="24">
        <v>-275908.53999999998</v>
      </c>
      <c r="F139" s="25">
        <v>-11193.26</v>
      </c>
      <c r="G139" s="24">
        <v>-287101.8</v>
      </c>
    </row>
    <row r="140" spans="1:7" s="45" customFormat="1">
      <c r="A140" s="29"/>
      <c r="B140" s="55"/>
      <c r="C140" s="62"/>
      <c r="D140" s="55"/>
      <c r="E140" s="57"/>
      <c r="F140" s="58">
        <f>SUM(F137:F139)</f>
        <v>-61408.33</v>
      </c>
      <c r="G140" s="57"/>
    </row>
    <row r="141" spans="1:7" s="45" customFormat="1">
      <c r="A141" s="21">
        <v>495339</v>
      </c>
      <c r="B141" s="20" t="s">
        <v>153</v>
      </c>
      <c r="C141" s="22" t="s">
        <v>42</v>
      </c>
      <c r="D141" s="23" t="s">
        <v>177</v>
      </c>
      <c r="E141" s="24">
        <v>-104628.21</v>
      </c>
      <c r="F141" s="25">
        <v>-20395.849999999999</v>
      </c>
      <c r="G141" s="24">
        <v>-125024.06</v>
      </c>
    </row>
    <row r="142" spans="1:7" s="45" customFormat="1">
      <c r="A142" s="26"/>
      <c r="B142" s="20" t="s">
        <v>153</v>
      </c>
      <c r="C142" s="27"/>
      <c r="D142" s="23" t="s">
        <v>178</v>
      </c>
      <c r="E142" s="24">
        <v>-125024.06</v>
      </c>
      <c r="F142" s="25">
        <v>-12916.96</v>
      </c>
      <c r="G142" s="24">
        <v>-137941.01999999999</v>
      </c>
    </row>
    <row r="143" spans="1:7" s="45" customFormat="1">
      <c r="A143" s="26"/>
      <c r="B143" s="20" t="s">
        <v>153</v>
      </c>
      <c r="C143" s="28"/>
      <c r="D143" s="23" t="s">
        <v>179</v>
      </c>
      <c r="E143" s="24">
        <v>-137941.01999999999</v>
      </c>
      <c r="F143" s="25">
        <v>-12089.35</v>
      </c>
      <c r="G143" s="24">
        <v>-150030.37</v>
      </c>
    </row>
    <row r="144" spans="1:7" s="45" customFormat="1">
      <c r="A144" s="29"/>
      <c r="B144" s="55"/>
      <c r="C144" s="62"/>
      <c r="D144" s="55"/>
      <c r="E144" s="57"/>
      <c r="F144" s="58">
        <f>SUM(F141:F143)</f>
        <v>-45402.159999999996</v>
      </c>
      <c r="G144" s="57"/>
    </row>
    <row r="145" spans="1:8" s="45" customFormat="1">
      <c r="A145" s="172"/>
      <c r="B145" s="152"/>
      <c r="C145" s="7"/>
      <c r="D145" s="152"/>
      <c r="E145" s="154"/>
      <c r="F145" s="155"/>
      <c r="G145" s="154"/>
    </row>
    <row r="146" spans="1:8">
      <c r="A146" s="19" t="s">
        <v>128</v>
      </c>
      <c r="B146" s="18"/>
      <c r="C146" s="30" t="s">
        <v>140</v>
      </c>
      <c r="D146" s="18"/>
      <c r="E146" s="18"/>
      <c r="F146" s="18"/>
      <c r="G146" s="18"/>
      <c r="H146" s="30"/>
    </row>
    <row r="147" spans="1:8">
      <c r="A147" s="18"/>
      <c r="B147" s="18"/>
      <c r="C147" s="18"/>
      <c r="D147" s="18"/>
      <c r="E147" s="18"/>
      <c r="F147" s="18"/>
      <c r="G147" s="18"/>
    </row>
    <row r="148" spans="1:8" ht="26.25">
      <c r="A148" s="59" t="s">
        <v>32</v>
      </c>
      <c r="B148" s="60" t="s">
        <v>33</v>
      </c>
      <c r="C148" s="61" t="s">
        <v>34</v>
      </c>
      <c r="D148" s="59" t="s">
        <v>35</v>
      </c>
      <c r="E148" s="59" t="s">
        <v>36</v>
      </c>
      <c r="F148" s="59" t="s">
        <v>37</v>
      </c>
      <c r="G148" s="59" t="s">
        <v>38</v>
      </c>
    </row>
    <row r="149" spans="1:8">
      <c r="A149" s="21">
        <v>419328</v>
      </c>
      <c r="B149" s="20" t="s">
        <v>160</v>
      </c>
      <c r="C149" s="22" t="s">
        <v>41</v>
      </c>
      <c r="D149" s="23" t="s">
        <v>177</v>
      </c>
      <c r="E149" s="24">
        <v>-20151.8</v>
      </c>
      <c r="F149" s="25">
        <v>-6112.65</v>
      </c>
      <c r="G149" s="24">
        <v>-26264.45</v>
      </c>
    </row>
    <row r="150" spans="1:8">
      <c r="A150" s="26"/>
      <c r="B150" s="20" t="s">
        <v>160</v>
      </c>
      <c r="C150" s="27"/>
      <c r="D150" s="23" t="s">
        <v>178</v>
      </c>
      <c r="E150" s="24">
        <v>-26264.45</v>
      </c>
      <c r="F150" s="25">
        <v>-6180.06</v>
      </c>
      <c r="G150" s="24">
        <v>-32444.51</v>
      </c>
    </row>
    <row r="151" spans="1:8">
      <c r="A151" s="26"/>
      <c r="B151" s="20" t="s">
        <v>160</v>
      </c>
      <c r="C151" s="28"/>
      <c r="D151" s="23" t="s">
        <v>179</v>
      </c>
      <c r="E151" s="24">
        <v>-32444.51</v>
      </c>
      <c r="F151" s="25">
        <v>-6120.51</v>
      </c>
      <c r="G151" s="24">
        <v>-38565.019999999997</v>
      </c>
    </row>
    <row r="152" spans="1:8">
      <c r="A152" s="26"/>
      <c r="B152" s="51"/>
      <c r="C152" s="52"/>
      <c r="D152" s="51"/>
      <c r="E152" s="53"/>
      <c r="F152" s="54">
        <f>SUM(F149:F151)</f>
        <v>-18413.22</v>
      </c>
      <c r="G152" s="53"/>
    </row>
    <row r="153" spans="1:8">
      <c r="A153" s="26"/>
      <c r="B153" s="20" t="s">
        <v>160</v>
      </c>
      <c r="C153" s="22" t="s">
        <v>42</v>
      </c>
      <c r="D153" s="23" t="s">
        <v>177</v>
      </c>
      <c r="E153" s="24">
        <v>-2791.98</v>
      </c>
      <c r="F153" s="25">
        <v>-933.76</v>
      </c>
      <c r="G153" s="24">
        <v>-3725.74</v>
      </c>
    </row>
    <row r="154" spans="1:8">
      <c r="A154" s="26"/>
      <c r="B154" s="20" t="s">
        <v>160</v>
      </c>
      <c r="C154" s="27"/>
      <c r="D154" s="23" t="s">
        <v>178</v>
      </c>
      <c r="E154" s="24">
        <v>-3725.74</v>
      </c>
      <c r="F154" s="25">
        <v>-935.32</v>
      </c>
      <c r="G154" s="24">
        <v>-4661.0600000000004</v>
      </c>
    </row>
    <row r="155" spans="1:8">
      <c r="A155" s="26"/>
      <c r="B155" s="20" t="s">
        <v>160</v>
      </c>
      <c r="C155" s="28"/>
      <c r="D155" s="23" t="s">
        <v>179</v>
      </c>
      <c r="E155" s="24">
        <v>-4661.0600000000004</v>
      </c>
      <c r="F155" s="25">
        <v>-936.88</v>
      </c>
      <c r="G155" s="24">
        <v>-5597.94</v>
      </c>
    </row>
    <row r="156" spans="1:8">
      <c r="A156" s="29"/>
      <c r="B156" s="51"/>
      <c r="C156" s="52"/>
      <c r="D156" s="51"/>
      <c r="E156" s="53"/>
      <c r="F156" s="54">
        <f>SUM(F153:F155)</f>
        <v>-2805.96</v>
      </c>
      <c r="G156" s="53"/>
    </row>
    <row r="157" spans="1:8">
      <c r="A157" s="203"/>
      <c r="B157" s="204"/>
      <c r="C157" s="203"/>
      <c r="D157" s="203"/>
      <c r="E157" s="205"/>
      <c r="F157" s="206">
        <f>F152+F156</f>
        <v>-21219.18</v>
      </c>
      <c r="G157" s="205"/>
    </row>
    <row r="158" spans="1:8">
      <c r="A158" s="26">
        <v>431328</v>
      </c>
      <c r="B158" s="207" t="s">
        <v>161</v>
      </c>
      <c r="C158" s="27" t="s">
        <v>41</v>
      </c>
      <c r="D158" s="208" t="s">
        <v>177</v>
      </c>
      <c r="E158" s="209">
        <v>5964.74</v>
      </c>
      <c r="F158" s="210">
        <v>1887.29</v>
      </c>
      <c r="G158" s="209">
        <v>7852.03</v>
      </c>
    </row>
    <row r="159" spans="1:8">
      <c r="A159" s="26"/>
      <c r="B159" s="20" t="s">
        <v>161</v>
      </c>
      <c r="C159" s="27"/>
      <c r="D159" s="23" t="s">
        <v>178</v>
      </c>
      <c r="E159" s="24">
        <v>7852.03</v>
      </c>
      <c r="F159" s="25">
        <v>1264.8</v>
      </c>
      <c r="G159" s="24">
        <v>9116.83</v>
      </c>
    </row>
    <row r="160" spans="1:8">
      <c r="A160" s="26"/>
      <c r="B160" s="20" t="s">
        <v>161</v>
      </c>
      <c r="C160" s="28"/>
      <c r="D160" s="23" t="s">
        <v>179</v>
      </c>
      <c r="E160" s="24">
        <v>9116.83</v>
      </c>
      <c r="F160" s="25">
        <v>1161.46</v>
      </c>
      <c r="G160" s="24">
        <v>10278.290000000001</v>
      </c>
    </row>
    <row r="161" spans="1:7">
      <c r="A161" s="26"/>
      <c r="B161" s="51"/>
      <c r="C161" s="52"/>
      <c r="D161" s="51"/>
      <c r="E161" s="53"/>
      <c r="F161" s="54">
        <f>SUM(F158:F160)</f>
        <v>4313.55</v>
      </c>
      <c r="G161" s="53"/>
    </row>
    <row r="162" spans="1:7">
      <c r="A162" s="26"/>
      <c r="B162" s="20" t="s">
        <v>161</v>
      </c>
      <c r="C162" s="22" t="s">
        <v>42</v>
      </c>
      <c r="D162" s="23" t="s">
        <v>177</v>
      </c>
      <c r="E162" s="24">
        <v>7108.35</v>
      </c>
      <c r="F162" s="25">
        <v>3392.52</v>
      </c>
      <c r="G162" s="24">
        <v>10500.87</v>
      </c>
    </row>
    <row r="163" spans="1:7">
      <c r="A163" s="26"/>
      <c r="B163" s="20" t="s">
        <v>161</v>
      </c>
      <c r="C163" s="27"/>
      <c r="D163" s="23" t="s">
        <v>178</v>
      </c>
      <c r="E163" s="24">
        <v>10500.87</v>
      </c>
      <c r="F163" s="25">
        <v>3031.89</v>
      </c>
      <c r="G163" s="24">
        <v>13532.76</v>
      </c>
    </row>
    <row r="164" spans="1:7">
      <c r="A164" s="26"/>
      <c r="B164" s="20" t="s">
        <v>161</v>
      </c>
      <c r="C164" s="28"/>
      <c r="D164" s="23" t="s">
        <v>179</v>
      </c>
      <c r="E164" s="24">
        <v>13532.76</v>
      </c>
      <c r="F164" s="25">
        <v>2685.36</v>
      </c>
      <c r="G164" s="24">
        <v>16218.12</v>
      </c>
    </row>
    <row r="165" spans="1:7">
      <c r="A165" s="29"/>
      <c r="B165" s="51"/>
      <c r="C165" s="52"/>
      <c r="D165" s="51"/>
      <c r="E165" s="53"/>
      <c r="F165" s="54">
        <f>SUM(F162:F164)</f>
        <v>9109.77</v>
      </c>
      <c r="G165" s="53"/>
    </row>
    <row r="166" spans="1:7">
      <c r="A166" s="203"/>
      <c r="B166" s="204"/>
      <c r="C166" s="203"/>
      <c r="D166" s="203"/>
      <c r="E166" s="205"/>
      <c r="F166" s="206">
        <f>F161+F165</f>
        <v>13423.32</v>
      </c>
      <c r="G166" s="205"/>
    </row>
    <row r="167" spans="1:7" ht="9.6" customHeight="1"/>
    <row r="168" spans="1:7" s="45" customFormat="1" ht="15.75">
      <c r="A168" s="214" t="s">
        <v>135</v>
      </c>
      <c r="B168" s="214"/>
      <c r="C168" s="214"/>
      <c r="D168" s="214"/>
      <c r="E168" s="214"/>
      <c r="F168" s="214"/>
      <c r="G168" s="214"/>
    </row>
    <row r="169" spans="1:7" ht="9.6" customHeight="1">
      <c r="A169" s="45"/>
      <c r="B169" s="45"/>
      <c r="C169" s="45"/>
      <c r="D169" s="45"/>
      <c r="E169" s="45"/>
      <c r="F169" s="45"/>
      <c r="G169" s="45"/>
    </row>
    <row r="170" spans="1:7">
      <c r="A170" s="19" t="s">
        <v>128</v>
      </c>
      <c r="B170" s="45"/>
      <c r="C170" s="45"/>
      <c r="D170" s="45"/>
      <c r="E170" s="45"/>
      <c r="F170" s="45"/>
      <c r="G170" s="45"/>
    </row>
    <row r="171" spans="1:7">
      <c r="A171" s="45"/>
      <c r="B171" s="45"/>
      <c r="C171" s="45"/>
      <c r="D171" s="45"/>
      <c r="E171" s="45"/>
      <c r="F171" s="45"/>
      <c r="G171" s="45"/>
    </row>
    <row r="172" spans="1:7" ht="25.5">
      <c r="A172" s="143" t="s">
        <v>32</v>
      </c>
      <c r="B172" s="144" t="s">
        <v>33</v>
      </c>
      <c r="C172" s="145" t="s">
        <v>34</v>
      </c>
      <c r="D172" s="146" t="s">
        <v>35</v>
      </c>
      <c r="E172" s="147" t="s">
        <v>36</v>
      </c>
      <c r="F172" s="146" t="s">
        <v>37</v>
      </c>
      <c r="G172" s="146" t="s">
        <v>38</v>
      </c>
    </row>
    <row r="173" spans="1:7">
      <c r="A173" s="21" t="s">
        <v>131</v>
      </c>
      <c r="B173" s="20" t="s">
        <v>132</v>
      </c>
      <c r="C173" s="22" t="s">
        <v>41</v>
      </c>
      <c r="D173" s="23" t="s">
        <v>177</v>
      </c>
      <c r="E173" s="24">
        <v>0</v>
      </c>
      <c r="F173" s="25">
        <v>0</v>
      </c>
      <c r="G173" s="24">
        <v>0</v>
      </c>
    </row>
    <row r="174" spans="1:7">
      <c r="A174" s="26"/>
      <c r="B174" s="20" t="s">
        <v>132</v>
      </c>
      <c r="C174" s="27"/>
      <c r="D174" s="23" t="s">
        <v>178</v>
      </c>
      <c r="E174" s="24">
        <v>0</v>
      </c>
      <c r="F174" s="25">
        <v>0</v>
      </c>
      <c r="G174" s="24">
        <v>0</v>
      </c>
    </row>
    <row r="175" spans="1:7">
      <c r="A175" s="26"/>
      <c r="B175" s="20" t="s">
        <v>132</v>
      </c>
      <c r="C175" s="28"/>
      <c r="D175" s="23" t="s">
        <v>179</v>
      </c>
      <c r="E175" s="24">
        <v>0</v>
      </c>
      <c r="F175" s="25">
        <v>0</v>
      </c>
      <c r="G175" s="24">
        <v>0</v>
      </c>
    </row>
    <row r="176" spans="1:7">
      <c r="A176" s="26"/>
      <c r="B176" s="51"/>
      <c r="C176" s="51"/>
      <c r="D176" s="51"/>
      <c r="E176" s="53"/>
      <c r="F176" s="54">
        <f>SUM(F173:F175)</f>
        <v>0</v>
      </c>
      <c r="G176" s="53"/>
    </row>
    <row r="177" spans="1:7">
      <c r="A177" s="26"/>
      <c r="B177" s="20" t="s">
        <v>132</v>
      </c>
      <c r="C177" s="22" t="s">
        <v>42</v>
      </c>
      <c r="D177" s="23" t="s">
        <v>177</v>
      </c>
      <c r="E177" s="24">
        <v>0</v>
      </c>
      <c r="F177" s="25">
        <v>0</v>
      </c>
      <c r="G177" s="24">
        <v>0</v>
      </c>
    </row>
    <row r="178" spans="1:7">
      <c r="A178" s="26"/>
      <c r="B178" s="20" t="s">
        <v>132</v>
      </c>
      <c r="C178" s="27"/>
      <c r="D178" s="23" t="s">
        <v>178</v>
      </c>
      <c r="E178" s="24">
        <v>0</v>
      </c>
      <c r="F178" s="25">
        <v>0</v>
      </c>
      <c r="G178" s="24">
        <v>0</v>
      </c>
    </row>
    <row r="179" spans="1:7">
      <c r="A179" s="26"/>
      <c r="B179" s="20" t="s">
        <v>132</v>
      </c>
      <c r="C179" s="28"/>
      <c r="D179" s="23" t="s">
        <v>179</v>
      </c>
      <c r="E179" s="24">
        <v>0</v>
      </c>
      <c r="F179" s="25">
        <v>0</v>
      </c>
      <c r="G179" s="24">
        <v>0</v>
      </c>
    </row>
    <row r="180" spans="1:7">
      <c r="A180" s="29"/>
      <c r="B180" s="51"/>
      <c r="C180" s="51"/>
      <c r="D180" s="51"/>
      <c r="E180" s="53"/>
      <c r="F180" s="54">
        <f>SUM(F177:F179)</f>
        <v>0</v>
      </c>
      <c r="G180" s="53"/>
    </row>
    <row r="181" spans="1:7">
      <c r="A181" s="55"/>
      <c r="B181" s="55"/>
      <c r="C181" s="55"/>
      <c r="D181" s="55"/>
      <c r="E181" s="57"/>
      <c r="F181" s="58">
        <f>F176+F180</f>
        <v>0</v>
      </c>
      <c r="G181" s="57"/>
    </row>
    <row r="182" spans="1:7">
      <c r="A182" s="21" t="s">
        <v>141</v>
      </c>
      <c r="B182" s="20" t="s">
        <v>142</v>
      </c>
      <c r="C182" s="22" t="s">
        <v>41</v>
      </c>
      <c r="D182" s="23" t="s">
        <v>177</v>
      </c>
      <c r="E182" s="24">
        <v>0</v>
      </c>
      <c r="F182" s="25">
        <v>0</v>
      </c>
      <c r="G182" s="24">
        <v>0</v>
      </c>
    </row>
    <row r="183" spans="1:7">
      <c r="A183" s="26"/>
      <c r="B183" s="20" t="s">
        <v>142</v>
      </c>
      <c r="C183" s="27"/>
      <c r="D183" s="23" t="s">
        <v>178</v>
      </c>
      <c r="E183" s="24">
        <v>0</v>
      </c>
      <c r="F183" s="25">
        <v>0</v>
      </c>
      <c r="G183" s="24">
        <v>0</v>
      </c>
    </row>
    <row r="184" spans="1:7">
      <c r="A184" s="26"/>
      <c r="B184" s="20" t="s">
        <v>142</v>
      </c>
      <c r="C184" s="28"/>
      <c r="D184" s="23" t="s">
        <v>179</v>
      </c>
      <c r="E184" s="24">
        <v>0</v>
      </c>
      <c r="F184" s="25">
        <v>0</v>
      </c>
      <c r="G184" s="24">
        <v>0</v>
      </c>
    </row>
    <row r="185" spans="1:7">
      <c r="A185" s="26"/>
      <c r="B185" s="51"/>
      <c r="C185" s="51"/>
      <c r="D185" s="51"/>
      <c r="E185" s="53"/>
      <c r="F185" s="54">
        <f>SUM(F182:F184)</f>
        <v>0</v>
      </c>
      <c r="G185" s="53"/>
    </row>
    <row r="186" spans="1:7">
      <c r="A186" s="26"/>
      <c r="B186" s="20" t="s">
        <v>142</v>
      </c>
      <c r="C186" s="22" t="s">
        <v>42</v>
      </c>
      <c r="D186" s="23" t="s">
        <v>177</v>
      </c>
      <c r="E186" s="24">
        <v>0</v>
      </c>
      <c r="F186" s="25">
        <v>0</v>
      </c>
      <c r="G186" s="24">
        <v>0</v>
      </c>
    </row>
    <row r="187" spans="1:7">
      <c r="A187" s="26"/>
      <c r="B187" s="20" t="s">
        <v>142</v>
      </c>
      <c r="C187" s="27"/>
      <c r="D187" s="23" t="s">
        <v>178</v>
      </c>
      <c r="E187" s="24">
        <v>0</v>
      </c>
      <c r="F187" s="25">
        <v>0</v>
      </c>
      <c r="G187" s="24">
        <v>0</v>
      </c>
    </row>
    <row r="188" spans="1:7">
      <c r="A188" s="26"/>
      <c r="B188" s="20" t="s">
        <v>142</v>
      </c>
      <c r="C188" s="28"/>
      <c r="D188" s="23" t="s">
        <v>179</v>
      </c>
      <c r="E188" s="24">
        <v>0</v>
      </c>
      <c r="F188" s="25">
        <v>0</v>
      </c>
      <c r="G188" s="24">
        <v>0</v>
      </c>
    </row>
    <row r="189" spans="1:7">
      <c r="A189" s="29"/>
      <c r="B189" s="51"/>
      <c r="C189" s="51"/>
      <c r="D189" s="51"/>
      <c r="E189" s="53"/>
      <c r="F189" s="54">
        <f>SUM(F186:F188)</f>
        <v>0</v>
      </c>
      <c r="G189" s="53"/>
    </row>
    <row r="190" spans="1:7">
      <c r="A190" s="55"/>
      <c r="B190" s="55"/>
      <c r="C190" s="55"/>
      <c r="D190" s="55"/>
      <c r="E190" s="57"/>
      <c r="F190" s="58">
        <f>F185+F189</f>
        <v>0</v>
      </c>
      <c r="G190" s="57"/>
    </row>
    <row r="191" spans="1:7">
      <c r="A191" s="21" t="s">
        <v>143</v>
      </c>
      <c r="B191" s="20" t="s">
        <v>134</v>
      </c>
      <c r="C191" s="22" t="s">
        <v>41</v>
      </c>
      <c r="D191" s="23" t="s">
        <v>177</v>
      </c>
      <c r="E191" s="24">
        <v>0</v>
      </c>
      <c r="F191" s="25">
        <v>0</v>
      </c>
      <c r="G191" s="24">
        <v>0</v>
      </c>
    </row>
    <row r="192" spans="1:7">
      <c r="A192" s="26"/>
      <c r="B192" s="20" t="s">
        <v>134</v>
      </c>
      <c r="C192" s="27"/>
      <c r="D192" s="23" t="s">
        <v>178</v>
      </c>
      <c r="E192" s="24">
        <v>0</v>
      </c>
      <c r="F192" s="25">
        <v>0</v>
      </c>
      <c r="G192" s="24">
        <v>0</v>
      </c>
    </row>
    <row r="193" spans="1:7">
      <c r="A193" s="26"/>
      <c r="B193" s="20" t="s">
        <v>134</v>
      </c>
      <c r="C193" s="28"/>
      <c r="D193" s="23" t="s">
        <v>179</v>
      </c>
      <c r="E193" s="24">
        <v>0</v>
      </c>
      <c r="F193" s="25">
        <v>0</v>
      </c>
      <c r="G193" s="24">
        <v>0</v>
      </c>
    </row>
    <row r="194" spans="1:7">
      <c r="A194" s="29"/>
      <c r="B194" s="51"/>
      <c r="C194" s="51"/>
      <c r="D194" s="51"/>
      <c r="E194" s="53"/>
      <c r="F194" s="54">
        <f>SUM(F191:F193)</f>
        <v>0</v>
      </c>
      <c r="G194" s="53"/>
    </row>
    <row r="195" spans="1:7">
      <c r="A195" s="55"/>
      <c r="B195" s="55"/>
      <c r="C195" s="55"/>
      <c r="D195" s="55"/>
      <c r="E195" s="57"/>
      <c r="F195" s="58">
        <f>F194</f>
        <v>0</v>
      </c>
      <c r="G195" s="57"/>
    </row>
    <row r="196" spans="1:7">
      <c r="A196" s="21" t="s">
        <v>133</v>
      </c>
      <c r="B196" s="20" t="s">
        <v>134</v>
      </c>
      <c r="C196" s="22" t="s">
        <v>42</v>
      </c>
      <c r="D196" s="23" t="s">
        <v>177</v>
      </c>
      <c r="E196" s="24">
        <v>0</v>
      </c>
      <c r="F196" s="25">
        <v>0</v>
      </c>
      <c r="G196" s="24">
        <v>0</v>
      </c>
    </row>
    <row r="197" spans="1:7">
      <c r="A197" s="26"/>
      <c r="B197" s="20" t="s">
        <v>134</v>
      </c>
      <c r="C197" s="27"/>
      <c r="D197" s="23" t="s">
        <v>178</v>
      </c>
      <c r="E197" s="24">
        <v>0</v>
      </c>
      <c r="F197" s="25">
        <v>0</v>
      </c>
      <c r="G197" s="24">
        <v>0</v>
      </c>
    </row>
    <row r="198" spans="1:7">
      <c r="A198" s="26"/>
      <c r="B198" s="20" t="s">
        <v>134</v>
      </c>
      <c r="C198" s="28"/>
      <c r="D198" s="23" t="s">
        <v>179</v>
      </c>
      <c r="E198" s="24">
        <v>0</v>
      </c>
      <c r="F198" s="25">
        <v>0</v>
      </c>
      <c r="G198" s="24">
        <v>0</v>
      </c>
    </row>
    <row r="199" spans="1:7">
      <c r="A199" s="29"/>
      <c r="B199" s="51"/>
      <c r="C199" s="51"/>
      <c r="D199" s="51"/>
      <c r="E199" s="53"/>
      <c r="F199" s="54">
        <f>SUM(F196:F198)</f>
        <v>0</v>
      </c>
      <c r="G199" s="53"/>
    </row>
    <row r="200" spans="1:7">
      <c r="A200" s="55"/>
      <c r="B200" s="55"/>
      <c r="C200" s="55"/>
      <c r="D200" s="55"/>
      <c r="E200" s="57"/>
      <c r="F200" s="58">
        <f>F199</f>
        <v>0</v>
      </c>
      <c r="G200" s="57"/>
    </row>
  </sheetData>
  <mergeCells count="5">
    <mergeCell ref="A104:G104"/>
    <mergeCell ref="A1:G1"/>
    <mergeCell ref="A168:G168"/>
    <mergeCell ref="K95:L97"/>
    <mergeCell ref="K99:L101"/>
  </mergeCells>
  <printOptions horizontalCentered="1"/>
  <pageMargins left="0.7" right="0.55000000000000004" top="0.81" bottom="0.53" header="0.39" footer="0.3"/>
  <pageSetup scale="83" firstPageNumber="5" fitToHeight="4" orientation="portrait" useFirstPageNumber="1" r:id="rId1"/>
  <headerFooter scaleWithDoc="0">
    <oddHeader>&amp;C&amp;8Avista Corporation Fixed Cost Adjustment Mechanism
Idaho Jurisdiction
Quarterly Report for 2nd Quarter 2019</oddHeader>
    <oddFooter>&amp;C&amp;F / &amp;A&amp;RPage &amp;P of 12</oddFooter>
  </headerFooter>
  <rowBreaks count="3" manualBreakCount="3">
    <brk id="48" max="6" man="1"/>
    <brk id="103" max="6" man="1"/>
    <brk id="14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90"/>
  <sheetViews>
    <sheetView tabSelected="1" topLeftCell="E32" zoomScaleNormal="100" workbookViewId="0">
      <selection activeCell="V102" sqref="V102"/>
    </sheetView>
  </sheetViews>
  <sheetFormatPr defaultRowHeight="15"/>
  <cols>
    <col min="1" max="1" width="2.85546875" customWidth="1"/>
    <col min="2" max="2" width="20.7109375" customWidth="1"/>
    <col min="3" max="3" width="8.28515625" customWidth="1"/>
    <col min="4" max="4" width="5" customWidth="1"/>
    <col min="5" max="5" width="9" customWidth="1"/>
    <col min="6" max="6" width="9.28515625" customWidth="1"/>
    <col min="7" max="7" width="8.7109375" customWidth="1"/>
    <col min="8" max="8" width="8.42578125" style="45" customWidth="1"/>
    <col min="9" max="9" width="8.5703125" customWidth="1"/>
    <col min="10" max="10" width="6.85546875" bestFit="1" customWidth="1"/>
    <col min="11" max="11" width="2" bestFit="1" customWidth="1"/>
    <col min="12" max="12" width="8.5703125" customWidth="1"/>
  </cols>
  <sheetData>
    <row r="1" spans="1:12">
      <c r="A1" t="s">
        <v>49</v>
      </c>
    </row>
    <row r="2" spans="1:12" s="16" customFormat="1" ht="14.45" customHeight="1">
      <c r="A2" s="34"/>
      <c r="B2" s="34"/>
      <c r="C2" s="34"/>
      <c r="D2" s="34"/>
      <c r="E2" s="34"/>
      <c r="F2" s="34"/>
      <c r="G2" s="34"/>
      <c r="H2" s="50"/>
      <c r="I2" s="34"/>
      <c r="J2" s="34"/>
      <c r="K2" s="34"/>
    </row>
    <row r="3" spans="1:12" s="16" customFormat="1" ht="45.6" customHeight="1">
      <c r="A3" s="218" t="s">
        <v>175</v>
      </c>
      <c r="B3" s="218"/>
      <c r="C3" s="218"/>
      <c r="D3" s="218"/>
      <c r="E3" s="218"/>
      <c r="F3" s="218"/>
      <c r="G3" s="218"/>
      <c r="H3" s="218"/>
      <c r="I3" s="218"/>
      <c r="J3" s="218"/>
      <c r="K3" s="132"/>
    </row>
    <row r="4" spans="1:12" ht="14.45" customHeight="1"/>
    <row r="5" spans="1:12">
      <c r="A5" s="217" t="s">
        <v>136</v>
      </c>
      <c r="B5" s="217"/>
      <c r="C5" s="217"/>
      <c r="D5" s="217"/>
      <c r="E5" s="217"/>
      <c r="F5" s="217"/>
      <c r="G5" s="217"/>
      <c r="H5" s="217"/>
      <c r="I5" s="217"/>
      <c r="J5" s="217"/>
      <c r="K5" s="31"/>
    </row>
    <row r="6" spans="1:12" s="16" customFormat="1" ht="13.9" customHeight="1">
      <c r="A6" s="217" t="s">
        <v>137</v>
      </c>
      <c r="B6" s="217"/>
      <c r="C6" s="217"/>
      <c r="D6" s="217"/>
      <c r="E6" s="217"/>
      <c r="F6" s="217"/>
      <c r="G6" s="217"/>
      <c r="H6" s="217"/>
      <c r="I6" s="217"/>
      <c r="J6" s="217"/>
      <c r="K6" s="217"/>
    </row>
    <row r="7" spans="1:12" ht="28.9" customHeight="1">
      <c r="A7" s="31"/>
      <c r="B7" s="31"/>
      <c r="C7" s="31"/>
      <c r="E7" s="36" t="s">
        <v>58</v>
      </c>
      <c r="F7" s="36" t="s">
        <v>59</v>
      </c>
      <c r="G7" s="39" t="s">
        <v>65</v>
      </c>
      <c r="H7" s="49" t="s">
        <v>66</v>
      </c>
      <c r="I7" s="63" t="s">
        <v>149</v>
      </c>
      <c r="J7" s="36" t="s">
        <v>60</v>
      </c>
      <c r="K7" s="31"/>
      <c r="L7" s="31"/>
    </row>
    <row r="8" spans="1:12" ht="14.45" customHeight="1">
      <c r="A8" s="35" t="s">
        <v>56</v>
      </c>
      <c r="B8" s="13"/>
      <c r="C8" s="13"/>
      <c r="E8" s="13"/>
      <c r="F8" s="13"/>
      <c r="G8" s="13"/>
      <c r="H8" s="13"/>
      <c r="I8" s="13"/>
      <c r="J8" s="13"/>
      <c r="K8" s="13"/>
      <c r="L8" s="13"/>
    </row>
    <row r="9" spans="1:12" ht="14.45" customHeight="1">
      <c r="A9" s="32"/>
      <c r="B9" s="32" t="s">
        <v>57</v>
      </c>
      <c r="C9" s="32"/>
      <c r="E9" s="46">
        <v>90</v>
      </c>
      <c r="F9" s="38">
        <v>-22</v>
      </c>
      <c r="G9" s="46"/>
      <c r="H9" s="166"/>
      <c r="I9" s="46">
        <v>68</v>
      </c>
      <c r="J9" s="156">
        <v>1.2E-2</v>
      </c>
      <c r="K9" s="32"/>
      <c r="L9" s="32"/>
    </row>
    <row r="10" spans="1:12" ht="14.45" customHeight="1">
      <c r="A10" s="32"/>
      <c r="B10" s="32" t="s">
        <v>130</v>
      </c>
      <c r="C10" s="32"/>
      <c r="E10" s="47">
        <v>5.68</v>
      </c>
      <c r="F10" s="37">
        <v>-2.25</v>
      </c>
      <c r="G10" s="47"/>
      <c r="H10" s="167"/>
      <c r="I10" s="47">
        <v>3.43</v>
      </c>
      <c r="J10" s="156">
        <v>0.01</v>
      </c>
      <c r="K10" s="32"/>
      <c r="L10" s="32"/>
    </row>
    <row r="11" spans="1:12">
      <c r="B11" s="16" t="s">
        <v>64</v>
      </c>
      <c r="E11" s="47">
        <v>-5.68</v>
      </c>
      <c r="F11" s="37">
        <v>2.25</v>
      </c>
      <c r="G11" s="47"/>
      <c r="H11" s="47"/>
      <c r="I11" s="47">
        <v>-3.43</v>
      </c>
      <c r="J11" s="18"/>
    </row>
    <row r="12" spans="1:12" s="16" customFormat="1" ht="6" customHeight="1">
      <c r="E12" s="47"/>
      <c r="F12" s="37"/>
      <c r="G12" s="47"/>
      <c r="H12" s="168"/>
      <c r="I12" s="47"/>
      <c r="J12" s="18"/>
    </row>
    <row r="13" spans="1:12">
      <c r="A13" s="35" t="s">
        <v>61</v>
      </c>
      <c r="B13" s="13"/>
      <c r="C13" s="13"/>
      <c r="E13" s="48"/>
      <c r="F13" s="13"/>
      <c r="G13" s="48"/>
      <c r="H13" s="169"/>
      <c r="I13" s="48"/>
      <c r="J13" s="48"/>
      <c r="K13" s="33"/>
      <c r="L13" s="33"/>
    </row>
    <row r="14" spans="1:12">
      <c r="A14" s="32"/>
      <c r="B14" s="32" t="s">
        <v>57</v>
      </c>
      <c r="C14" s="32"/>
      <c r="E14" s="46">
        <v>-175</v>
      </c>
      <c r="F14" s="38">
        <v>-195</v>
      </c>
      <c r="G14" s="46"/>
      <c r="H14" s="166"/>
      <c r="I14" s="46">
        <v>-370</v>
      </c>
      <c r="J14" s="156">
        <v>-1.7000000000000001E-2</v>
      </c>
      <c r="K14" s="33"/>
      <c r="L14" s="33"/>
    </row>
    <row r="15" spans="1:12" ht="14.45" customHeight="1">
      <c r="A15" s="32"/>
      <c r="B15" s="32" t="s">
        <v>130</v>
      </c>
      <c r="C15" s="32"/>
      <c r="E15" s="47">
        <v>-7.39</v>
      </c>
      <c r="F15" s="37">
        <v>2.99</v>
      </c>
      <c r="G15" s="47"/>
      <c r="H15" s="167"/>
      <c r="I15" s="47">
        <v>-4.3899999999999997</v>
      </c>
      <c r="J15" s="156">
        <v>-4.0000000000000001E-3</v>
      </c>
      <c r="K15" s="33"/>
      <c r="L15" s="33"/>
    </row>
    <row r="16" spans="1:12">
      <c r="B16" s="16" t="s">
        <v>64</v>
      </c>
      <c r="E16" s="47">
        <v>7.39</v>
      </c>
      <c r="F16" s="37">
        <v>-2.99</v>
      </c>
      <c r="G16" s="47"/>
      <c r="H16" s="47"/>
      <c r="I16" s="47">
        <v>4.3899999999999997</v>
      </c>
      <c r="J16" s="18"/>
    </row>
    <row r="17" spans="1:10" s="16" customFormat="1" ht="9" customHeight="1">
      <c r="E17" s="18"/>
      <c r="G17" s="18"/>
      <c r="H17" s="170"/>
      <c r="I17" s="18"/>
      <c r="J17" s="18"/>
    </row>
    <row r="18" spans="1:10" ht="14.45" customHeight="1">
      <c r="A18" s="35" t="s">
        <v>62</v>
      </c>
      <c r="B18" s="13"/>
      <c r="C18" s="13"/>
      <c r="E18" s="48"/>
      <c r="F18" s="13"/>
      <c r="G18" s="48"/>
      <c r="H18" s="169"/>
      <c r="I18" s="48"/>
      <c r="J18" s="48"/>
    </row>
    <row r="19" spans="1:10" ht="14.45" customHeight="1">
      <c r="A19" s="32"/>
      <c r="B19" s="32" t="s">
        <v>57</v>
      </c>
      <c r="C19" s="32"/>
      <c r="E19" s="46">
        <v>48</v>
      </c>
      <c r="F19" s="46">
        <v>-10</v>
      </c>
      <c r="G19" s="46"/>
      <c r="H19" s="166"/>
      <c r="I19" s="46">
        <v>48</v>
      </c>
      <c r="J19" s="156">
        <v>9.1999999999999998E-2</v>
      </c>
    </row>
    <row r="20" spans="1:10">
      <c r="A20" s="32"/>
      <c r="B20" s="32" t="s">
        <v>130</v>
      </c>
      <c r="C20" s="32"/>
      <c r="E20" s="47">
        <v>17.57</v>
      </c>
      <c r="F20" s="47">
        <v>-4.91</v>
      </c>
      <c r="G20" s="47"/>
      <c r="H20" s="167"/>
      <c r="I20" s="47">
        <v>12.63</v>
      </c>
      <c r="J20" s="156">
        <v>6.6000000000000003E-2</v>
      </c>
    </row>
    <row r="21" spans="1:10" s="16" customFormat="1">
      <c r="A21" s="32"/>
      <c r="B21" s="16" t="s">
        <v>64</v>
      </c>
      <c r="C21" s="32"/>
      <c r="E21" s="47">
        <v>-17.57</v>
      </c>
      <c r="F21" s="47">
        <v>4.91</v>
      </c>
      <c r="G21" s="47"/>
      <c r="H21" s="47"/>
      <c r="I21" s="47">
        <v>-12.63</v>
      </c>
      <c r="J21" s="157"/>
    </row>
    <row r="22" spans="1:10" ht="9" customHeight="1">
      <c r="A22" s="16"/>
      <c r="B22" s="16"/>
      <c r="C22" s="16"/>
      <c r="E22" s="18"/>
      <c r="F22" s="18"/>
      <c r="G22" s="18"/>
      <c r="H22" s="170"/>
      <c r="I22" s="18"/>
      <c r="J22" s="18"/>
    </row>
    <row r="23" spans="1:10">
      <c r="A23" s="35" t="s">
        <v>63</v>
      </c>
      <c r="B23" s="13"/>
      <c r="C23" s="13"/>
      <c r="E23" s="48"/>
      <c r="F23" s="13"/>
      <c r="G23" s="48"/>
      <c r="H23" s="169"/>
      <c r="I23" s="48"/>
      <c r="J23" s="48"/>
    </row>
    <row r="24" spans="1:10">
      <c r="A24" s="32"/>
      <c r="B24" s="32" t="s">
        <v>57</v>
      </c>
      <c r="C24" s="32"/>
      <c r="E24" s="46">
        <v>786</v>
      </c>
      <c r="F24" s="38">
        <v>-97</v>
      </c>
      <c r="G24" s="46"/>
      <c r="H24" s="166"/>
      <c r="I24" s="46">
        <v>691</v>
      </c>
      <c r="J24" s="156">
        <v>0.08</v>
      </c>
    </row>
    <row r="25" spans="1:10">
      <c r="A25" s="32"/>
      <c r="B25" s="32" t="s">
        <v>130</v>
      </c>
      <c r="C25" s="32"/>
      <c r="E25" s="47">
        <v>192.72</v>
      </c>
      <c r="F25" s="37">
        <v>-16.13</v>
      </c>
      <c r="G25" s="47"/>
      <c r="H25" s="167"/>
      <c r="I25" s="47">
        <v>177.05</v>
      </c>
      <c r="J25" s="156">
        <v>9.8000000000000004E-2</v>
      </c>
    </row>
    <row r="26" spans="1:10">
      <c r="B26" s="16" t="s">
        <v>64</v>
      </c>
      <c r="E26" s="47">
        <v>-192.72</v>
      </c>
      <c r="F26" s="37">
        <v>16.13</v>
      </c>
      <c r="G26" s="47"/>
      <c r="H26" s="47"/>
      <c r="I26" s="47">
        <v>-177.05</v>
      </c>
      <c r="J26" s="18"/>
    </row>
    <row r="29" spans="1:10" ht="65.25" customHeight="1">
      <c r="A29" s="216" t="s">
        <v>155</v>
      </c>
      <c r="B29" s="216"/>
      <c r="C29" s="216"/>
      <c r="D29" s="216"/>
      <c r="E29" s="216"/>
      <c r="F29" s="216"/>
      <c r="G29" s="216"/>
      <c r="H29" s="216"/>
      <c r="I29" s="216"/>
      <c r="J29" s="216"/>
    </row>
    <row r="31" spans="1:10" hidden="1"/>
    <row r="32" spans="1:10" ht="104.25" customHeight="1">
      <c r="A32" s="216" t="s">
        <v>180</v>
      </c>
      <c r="B32" s="216"/>
      <c r="C32" s="216"/>
      <c r="D32" s="216"/>
      <c r="E32" s="216"/>
      <c r="F32" s="216"/>
      <c r="G32" s="216"/>
      <c r="H32" s="216"/>
      <c r="I32" s="216"/>
      <c r="J32" s="216"/>
    </row>
    <row r="33" spans="1:20">
      <c r="A33" s="216"/>
      <c r="B33" s="216"/>
      <c r="C33" s="216"/>
      <c r="D33" s="216"/>
      <c r="E33" s="216"/>
      <c r="F33" s="216"/>
      <c r="G33" s="216"/>
      <c r="H33" s="216"/>
      <c r="I33" s="216"/>
      <c r="J33" s="216"/>
    </row>
    <row r="44" spans="1:20">
      <c r="T44" s="45"/>
    </row>
    <row r="90" spans="18:19">
      <c r="R90" s="45"/>
      <c r="S90" s="45"/>
    </row>
  </sheetData>
  <mergeCells count="6">
    <mergeCell ref="A33:J33"/>
    <mergeCell ref="A32:J32"/>
    <mergeCell ref="A6:K6"/>
    <mergeCell ref="A29:J29"/>
    <mergeCell ref="A3:J3"/>
    <mergeCell ref="A5:J5"/>
  </mergeCells>
  <printOptions horizontalCentered="1"/>
  <pageMargins left="0.7" right="0.55000000000000004" top="0.81" bottom="0.47" header="0.39" footer="0.3"/>
  <pageSetup firstPageNumber="9" orientation="portrait" r:id="rId1"/>
  <headerFooter scaleWithDoc="0">
    <oddHeader>&amp;C&amp;8Avista Corporation Fixed Cost Adjustment Mechanism
Idaho Jurisdiction
Quarterly Report for 2nd Quarter 2019</oddHeader>
    <oddFooter>&amp;C&amp;F / &amp;A&amp;RPage &amp;P of 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51"/>
  <sheetViews>
    <sheetView tabSelected="1" topLeftCell="A87" zoomScale="93" zoomScaleNormal="93" workbookViewId="0">
      <selection activeCell="V102" sqref="V102"/>
    </sheetView>
  </sheetViews>
  <sheetFormatPr defaultColWidth="8.85546875" defaultRowHeight="15"/>
  <cols>
    <col min="1" max="1" width="5.7109375" style="45" customWidth="1"/>
    <col min="2" max="2" width="42.28515625" style="45" customWidth="1"/>
    <col min="3" max="3" width="25.42578125" style="45" customWidth="1"/>
    <col min="4" max="4" width="10.5703125" style="45" hidden="1" customWidth="1"/>
    <col min="5" max="5" width="11.5703125" style="45" hidden="1" customWidth="1"/>
    <col min="6" max="6" width="11" style="45" hidden="1" customWidth="1"/>
    <col min="7" max="9" width="11.5703125" style="45" customWidth="1"/>
    <col min="10" max="10" width="13" style="45" hidden="1" customWidth="1"/>
    <col min="11" max="15" width="11.5703125" style="45" hidden="1" customWidth="1"/>
    <col min="16" max="16" width="15" style="45" bestFit="1" customWidth="1"/>
    <col min="17" max="17" width="15.28515625" style="45" customWidth="1"/>
    <col min="18" max="18" width="15" style="45" hidden="1" customWidth="1"/>
    <col min="19" max="19" width="15.28515625" style="45" hidden="1" customWidth="1"/>
    <col min="20" max="20" width="12.28515625" style="45" bestFit="1" customWidth="1"/>
    <col min="21" max="16384" width="8.85546875" style="45"/>
  </cols>
  <sheetData>
    <row r="1" spans="1:20" ht="15.75">
      <c r="A1" s="80" t="s">
        <v>0</v>
      </c>
      <c r="B1" s="80"/>
      <c r="C1" s="80"/>
      <c r="D1" s="80"/>
      <c r="E1" s="80"/>
      <c r="F1" s="80"/>
      <c r="G1" s="80"/>
      <c r="H1" s="80"/>
      <c r="I1" s="80"/>
      <c r="J1" s="80"/>
      <c r="K1" s="80"/>
      <c r="L1" s="80"/>
      <c r="M1" s="80"/>
      <c r="N1" s="80"/>
      <c r="O1" s="80"/>
    </row>
    <row r="2" spans="1:20" ht="15.75">
      <c r="A2" s="80" t="s">
        <v>72</v>
      </c>
      <c r="B2" s="80"/>
      <c r="C2" s="80"/>
      <c r="D2" s="80"/>
      <c r="E2" s="80"/>
      <c r="F2" s="80"/>
      <c r="G2" s="80"/>
      <c r="H2" s="80"/>
      <c r="I2" s="80"/>
      <c r="J2" s="80"/>
      <c r="K2" s="80"/>
      <c r="L2" s="80"/>
      <c r="M2" s="80"/>
      <c r="N2" s="80"/>
      <c r="O2" s="80"/>
    </row>
    <row r="3" spans="1:20" ht="15.75">
      <c r="A3" s="81" t="s">
        <v>173</v>
      </c>
      <c r="B3" s="80"/>
      <c r="C3" s="80"/>
      <c r="D3" s="80"/>
      <c r="E3" s="80"/>
      <c r="F3" s="80"/>
      <c r="G3" s="80"/>
      <c r="H3" s="80"/>
      <c r="I3" s="80"/>
      <c r="J3" s="80"/>
      <c r="K3" s="80"/>
      <c r="L3" s="80"/>
      <c r="M3" s="80"/>
      <c r="N3" s="80"/>
      <c r="O3" s="80"/>
    </row>
    <row r="4" spans="1:20" ht="15.75">
      <c r="A4" s="80" t="s">
        <v>174</v>
      </c>
      <c r="B4" s="80"/>
      <c r="C4" s="80"/>
      <c r="D4" s="80"/>
      <c r="E4" s="80"/>
      <c r="F4" s="80"/>
      <c r="G4" s="80"/>
      <c r="H4" s="80"/>
      <c r="I4" s="80"/>
      <c r="J4" s="80"/>
      <c r="K4" s="80"/>
      <c r="L4" s="80"/>
      <c r="M4" s="80"/>
      <c r="N4" s="80"/>
      <c r="O4" s="80"/>
    </row>
    <row r="5" spans="1:20" ht="16.899999999999999" customHeight="1">
      <c r="A5" s="80" t="s">
        <v>163</v>
      </c>
      <c r="B5" s="80"/>
      <c r="C5" s="80"/>
      <c r="D5" s="80"/>
      <c r="E5" s="80"/>
      <c r="F5" s="80"/>
      <c r="G5" s="80"/>
      <c r="H5" s="80"/>
      <c r="I5" s="80"/>
      <c r="J5" s="80"/>
      <c r="K5" s="80"/>
      <c r="L5" s="80"/>
      <c r="M5" s="80"/>
      <c r="N5" s="80"/>
      <c r="O5" s="80"/>
    </row>
    <row r="6" spans="1:20" ht="27" customHeight="1">
      <c r="A6" s="211" t="s">
        <v>1</v>
      </c>
      <c r="B6" s="17"/>
      <c r="C6" s="17"/>
      <c r="D6" s="3"/>
      <c r="E6" s="3"/>
      <c r="F6" s="3"/>
      <c r="G6" s="3"/>
      <c r="H6" s="3"/>
      <c r="I6" s="3"/>
      <c r="J6" s="3"/>
      <c r="K6" s="3"/>
      <c r="L6" s="3"/>
      <c r="M6" s="3"/>
      <c r="N6" s="3"/>
      <c r="O6" s="3"/>
      <c r="P6" s="72" t="s">
        <v>165</v>
      </c>
      <c r="Q6" s="72" t="s">
        <v>166</v>
      </c>
      <c r="R6" s="72" t="s">
        <v>167</v>
      </c>
      <c r="S6" s="72" t="s">
        <v>168</v>
      </c>
      <c r="T6" s="72" t="s">
        <v>169</v>
      </c>
    </row>
    <row r="7" spans="1:20">
      <c r="A7" s="212"/>
      <c r="B7" s="68"/>
      <c r="C7" s="65" t="s">
        <v>2</v>
      </c>
      <c r="D7" s="85">
        <v>43466</v>
      </c>
      <c r="E7" s="85">
        <f t="shared" ref="E7:O7" si="0">EDATE(D7,1)</f>
        <v>43497</v>
      </c>
      <c r="F7" s="85">
        <f t="shared" si="0"/>
        <v>43525</v>
      </c>
      <c r="G7" s="85">
        <f t="shared" si="0"/>
        <v>43556</v>
      </c>
      <c r="H7" s="85">
        <f t="shared" si="0"/>
        <v>43586</v>
      </c>
      <c r="I7" s="85">
        <f>EDATE(H7,1)</f>
        <v>43617</v>
      </c>
      <c r="J7" s="85">
        <f t="shared" si="0"/>
        <v>43647</v>
      </c>
      <c r="K7" s="85">
        <f t="shared" si="0"/>
        <v>43678</v>
      </c>
      <c r="L7" s="85">
        <f t="shared" si="0"/>
        <v>43709</v>
      </c>
      <c r="M7" s="85">
        <f t="shared" si="0"/>
        <v>43739</v>
      </c>
      <c r="N7" s="85">
        <f t="shared" si="0"/>
        <v>43770</v>
      </c>
      <c r="O7" s="85">
        <f t="shared" si="0"/>
        <v>43800</v>
      </c>
      <c r="P7" s="73" t="s">
        <v>3</v>
      </c>
      <c r="Q7" s="73" t="s">
        <v>3</v>
      </c>
      <c r="R7" s="73" t="s">
        <v>3</v>
      </c>
      <c r="S7" s="73" t="s">
        <v>3</v>
      </c>
      <c r="T7" s="73" t="s">
        <v>3</v>
      </c>
    </row>
    <row r="8" spans="1:20">
      <c r="A8" s="42"/>
      <c r="B8" s="42" t="s">
        <v>4</v>
      </c>
      <c r="C8" s="42" t="s">
        <v>5</v>
      </c>
      <c r="D8" s="3" t="s">
        <v>6</v>
      </c>
      <c r="E8" s="3" t="s">
        <v>7</v>
      </c>
      <c r="F8" s="3" t="s">
        <v>8</v>
      </c>
      <c r="G8" s="3" t="s">
        <v>9</v>
      </c>
      <c r="H8" s="173" t="s">
        <v>10</v>
      </c>
      <c r="I8" s="173" t="s">
        <v>11</v>
      </c>
      <c r="J8" s="3" t="s">
        <v>12</v>
      </c>
      <c r="K8" s="3" t="s">
        <v>13</v>
      </c>
      <c r="L8" s="3" t="s">
        <v>14</v>
      </c>
      <c r="M8" s="3" t="s">
        <v>15</v>
      </c>
      <c r="N8" s="3" t="s">
        <v>16</v>
      </c>
      <c r="O8" s="3" t="s">
        <v>17</v>
      </c>
      <c r="P8" s="4"/>
      <c r="Q8" s="4"/>
      <c r="R8" s="4"/>
      <c r="S8" s="4"/>
      <c r="T8" s="5"/>
    </row>
    <row r="9" spans="1:20">
      <c r="A9" s="42"/>
      <c r="B9" s="1" t="s">
        <v>103</v>
      </c>
      <c r="C9" s="42"/>
      <c r="D9" s="3"/>
      <c r="E9" s="3"/>
      <c r="F9" s="3"/>
      <c r="G9" s="3"/>
      <c r="H9" s="173"/>
      <c r="I9" s="173"/>
      <c r="J9" s="3"/>
      <c r="K9" s="3"/>
      <c r="L9" s="3"/>
      <c r="M9" s="3"/>
      <c r="N9" s="3"/>
      <c r="O9" s="3"/>
      <c r="P9" s="77"/>
      <c r="Q9" s="77"/>
      <c r="R9" s="77"/>
      <c r="S9" s="77"/>
      <c r="T9" s="5"/>
    </row>
    <row r="10" spans="1:20" ht="6" customHeight="1">
      <c r="A10" s="42"/>
      <c r="B10" s="86"/>
      <c r="C10" s="42"/>
      <c r="D10" s="3"/>
      <c r="E10" s="3"/>
      <c r="F10" s="3"/>
      <c r="G10" s="3"/>
      <c r="H10" s="173"/>
      <c r="I10" s="173"/>
      <c r="J10" s="3"/>
      <c r="K10" s="3"/>
      <c r="L10" s="3"/>
      <c r="M10" s="3"/>
      <c r="N10" s="3"/>
      <c r="O10" s="3"/>
      <c r="P10" s="74"/>
      <c r="Q10" s="74"/>
      <c r="R10" s="74"/>
      <c r="S10" s="74"/>
      <c r="T10" s="75"/>
    </row>
    <row r="11" spans="1:20">
      <c r="A11" s="42">
        <v>1</v>
      </c>
      <c r="B11" s="17" t="s">
        <v>74</v>
      </c>
      <c r="C11" s="42" t="s">
        <v>75</v>
      </c>
      <c r="D11" s="87">
        <v>21957</v>
      </c>
      <c r="E11" s="87">
        <v>21809</v>
      </c>
      <c r="F11" s="87">
        <v>21928</v>
      </c>
      <c r="G11" s="87">
        <v>21917</v>
      </c>
      <c r="H11" s="148">
        <v>22056</v>
      </c>
      <c r="I11" s="148">
        <v>21866</v>
      </c>
      <c r="J11" s="87"/>
      <c r="K11" s="87"/>
      <c r="L11" s="87"/>
      <c r="M11" s="87"/>
      <c r="N11" s="87"/>
      <c r="O11" s="87"/>
      <c r="P11" s="74">
        <f t="shared" ref="P11:P14" si="1">SUM(D11:F11)</f>
        <v>65694</v>
      </c>
      <c r="Q11" s="74">
        <f t="shared" ref="Q11:Q14" si="2">SUM(G11:I11)</f>
        <v>65839</v>
      </c>
      <c r="R11" s="74">
        <f t="shared" ref="R11:R14" si="3">SUM(J11:L11)</f>
        <v>0</v>
      </c>
      <c r="S11" s="74">
        <f t="shared" ref="S11:S14" si="4">SUM(M11:O11)</f>
        <v>0</v>
      </c>
      <c r="T11" s="75">
        <f t="shared" ref="T11:T14" si="5">SUM(D11:O11)</f>
        <v>131533</v>
      </c>
    </row>
    <row r="12" spans="1:20">
      <c r="A12" s="64">
        <v>2</v>
      </c>
      <c r="B12" s="17" t="s">
        <v>76</v>
      </c>
      <c r="C12" s="42" t="s">
        <v>75</v>
      </c>
      <c r="D12" s="87">
        <v>36931389.267609999</v>
      </c>
      <c r="E12" s="87">
        <v>37293216.39401</v>
      </c>
      <c r="F12" s="87">
        <v>33026982.224989999</v>
      </c>
      <c r="G12" s="87">
        <v>29698395.09801</v>
      </c>
      <c r="H12" s="148">
        <v>27949413.668000001</v>
      </c>
      <c r="I12" s="148">
        <v>29317039.155999999</v>
      </c>
      <c r="J12" s="87"/>
      <c r="K12" s="87"/>
      <c r="L12" s="87"/>
      <c r="M12" s="87"/>
      <c r="N12" s="87"/>
      <c r="O12" s="87"/>
      <c r="P12" s="74">
        <f t="shared" si="1"/>
        <v>107251587.88660999</v>
      </c>
      <c r="Q12" s="74">
        <f t="shared" si="2"/>
        <v>86964847.922010005</v>
      </c>
      <c r="R12" s="74">
        <f t="shared" si="3"/>
        <v>0</v>
      </c>
      <c r="S12" s="74">
        <f t="shared" si="4"/>
        <v>0</v>
      </c>
      <c r="T12" s="75">
        <f t="shared" si="5"/>
        <v>194216435.80861998</v>
      </c>
    </row>
    <row r="13" spans="1:20">
      <c r="A13" s="42">
        <v>3</v>
      </c>
      <c r="B13" s="17" t="s">
        <v>77</v>
      </c>
      <c r="C13" s="42" t="s">
        <v>75</v>
      </c>
      <c r="D13" s="88">
        <v>3681534.7863099999</v>
      </c>
      <c r="E13" s="88">
        <v>3724478.3113299999</v>
      </c>
      <c r="F13" s="88">
        <v>3423404.4943899997</v>
      </c>
      <c r="G13" s="88">
        <v>3141837.99847</v>
      </c>
      <c r="H13" s="149">
        <v>3000340.9586199997</v>
      </c>
      <c r="I13" s="149">
        <v>3040022.5311099999</v>
      </c>
      <c r="J13" s="88"/>
      <c r="K13" s="88"/>
      <c r="L13" s="88"/>
      <c r="M13" s="88"/>
      <c r="N13" s="88"/>
      <c r="O13" s="88"/>
      <c r="P13" s="161">
        <f t="shared" si="1"/>
        <v>10829417.59203</v>
      </c>
      <c r="Q13" s="161">
        <f t="shared" si="2"/>
        <v>9182201.4881999996</v>
      </c>
      <c r="R13" s="161">
        <f t="shared" si="3"/>
        <v>0</v>
      </c>
      <c r="S13" s="161">
        <f t="shared" si="4"/>
        <v>0</v>
      </c>
      <c r="T13" s="162">
        <f t="shared" si="5"/>
        <v>20011619.080230001</v>
      </c>
    </row>
    <row r="14" spans="1:20">
      <c r="A14" s="64">
        <v>4</v>
      </c>
      <c r="B14" s="17" t="s">
        <v>78</v>
      </c>
      <c r="C14" s="42" t="s">
        <v>75</v>
      </c>
      <c r="D14" s="88">
        <v>288344.5</v>
      </c>
      <c r="E14" s="88">
        <v>285222.49</v>
      </c>
      <c r="F14" s="149">
        <v>287473.19999999995</v>
      </c>
      <c r="G14" s="88">
        <v>287588.02</v>
      </c>
      <c r="H14" s="149">
        <v>289257.65000000002</v>
      </c>
      <c r="I14" s="149">
        <v>286978.32</v>
      </c>
      <c r="J14" s="88"/>
      <c r="K14" s="88"/>
      <c r="L14" s="88"/>
      <c r="M14" s="88"/>
      <c r="N14" s="88"/>
      <c r="O14" s="88"/>
      <c r="P14" s="189">
        <f t="shared" si="1"/>
        <v>861040.19</v>
      </c>
      <c r="Q14" s="161">
        <f t="shared" si="2"/>
        <v>863823.99</v>
      </c>
      <c r="R14" s="161">
        <f t="shared" si="3"/>
        <v>0</v>
      </c>
      <c r="S14" s="161">
        <f t="shared" si="4"/>
        <v>0</v>
      </c>
      <c r="T14" s="162">
        <f t="shared" si="5"/>
        <v>1724864.18</v>
      </c>
    </row>
    <row r="15" spans="1:20" ht="6" customHeight="1">
      <c r="A15" s="42">
        <v>5</v>
      </c>
      <c r="B15" s="17"/>
      <c r="C15" s="42"/>
      <c r="D15" s="89"/>
      <c r="E15" s="89"/>
      <c r="F15" s="89"/>
      <c r="G15" s="89"/>
      <c r="H15" s="174"/>
      <c r="I15" s="174"/>
      <c r="J15" s="89"/>
      <c r="K15" s="89"/>
      <c r="L15" s="89"/>
      <c r="M15" s="89"/>
      <c r="N15" s="89"/>
      <c r="O15" s="89"/>
      <c r="P15" s="74"/>
      <c r="Q15" s="74"/>
      <c r="R15" s="74"/>
      <c r="S15" s="74"/>
      <c r="T15" s="75"/>
    </row>
    <row r="16" spans="1:20">
      <c r="A16" s="64">
        <v>6</v>
      </c>
      <c r="B16" s="86" t="s">
        <v>79</v>
      </c>
      <c r="C16" s="42"/>
      <c r="D16" s="89"/>
      <c r="E16" s="89"/>
      <c r="F16" s="89"/>
      <c r="G16" s="89"/>
      <c r="H16" s="174"/>
      <c r="I16" s="174"/>
      <c r="J16" s="89"/>
      <c r="K16" s="89"/>
      <c r="L16" s="89"/>
      <c r="M16" s="89"/>
      <c r="N16" s="89"/>
      <c r="O16" s="89"/>
      <c r="P16" s="190"/>
      <c r="Q16" s="74"/>
      <c r="R16" s="74"/>
      <c r="S16" s="74"/>
      <c r="T16" s="75"/>
    </row>
    <row r="17" spans="1:20">
      <c r="A17" s="42">
        <v>7</v>
      </c>
      <c r="B17" s="17" t="s">
        <v>80</v>
      </c>
      <c r="C17" s="42" t="str">
        <f>"("&amp;A11&amp;") - ("&amp;A32&amp;")"</f>
        <v>(1) - (22)</v>
      </c>
      <c r="D17" s="89">
        <f>D11-D32</f>
        <v>21039</v>
      </c>
      <c r="E17" s="89">
        <f t="shared" ref="E17:O17" si="6">E11-E32</f>
        <v>20856</v>
      </c>
      <c r="F17" s="89">
        <f t="shared" si="6"/>
        <v>20965</v>
      </c>
      <c r="G17" s="89">
        <f>G11-G32</f>
        <v>20916</v>
      </c>
      <c r="H17" s="174">
        <f t="shared" si="6"/>
        <v>21004</v>
      </c>
      <c r="I17" s="174">
        <f t="shared" si="6"/>
        <v>20776</v>
      </c>
      <c r="J17" s="89">
        <f t="shared" si="6"/>
        <v>0</v>
      </c>
      <c r="K17" s="89">
        <f t="shared" si="6"/>
        <v>0</v>
      </c>
      <c r="L17" s="89">
        <f t="shared" si="6"/>
        <v>0</v>
      </c>
      <c r="M17" s="89">
        <f t="shared" si="6"/>
        <v>0</v>
      </c>
      <c r="N17" s="89">
        <f t="shared" si="6"/>
        <v>0</v>
      </c>
      <c r="O17" s="89">
        <f t="shared" si="6"/>
        <v>0</v>
      </c>
      <c r="P17" s="74">
        <f>SUM(D17:F17)</f>
        <v>62860</v>
      </c>
      <c r="Q17" s="74">
        <f>SUM(G17:I17)</f>
        <v>62696</v>
      </c>
      <c r="R17" s="74">
        <f>SUM(J17:L17)</f>
        <v>0</v>
      </c>
      <c r="S17" s="74">
        <f>SUM(M17:O17)</f>
        <v>0</v>
      </c>
      <c r="T17" s="75">
        <f>SUM(D17:O17)</f>
        <v>125556</v>
      </c>
    </row>
    <row r="18" spans="1:20">
      <c r="A18" s="64">
        <v>8</v>
      </c>
      <c r="B18" s="83" t="s">
        <v>81</v>
      </c>
      <c r="C18" s="90" t="s">
        <v>82</v>
      </c>
      <c r="D18" s="123">
        <v>117.60916824776724</v>
      </c>
      <c r="E18" s="123">
        <v>107.59060503917279</v>
      </c>
      <c r="F18" s="123">
        <v>106.12917043598902</v>
      </c>
      <c r="G18" s="124">
        <v>88.453865694821388</v>
      </c>
      <c r="H18" s="175">
        <v>91.895304003863302</v>
      </c>
      <c r="I18" s="175">
        <v>84.585352056194722</v>
      </c>
      <c r="J18" s="124">
        <v>106.87657451399524</v>
      </c>
      <c r="K18" s="124">
        <v>100.80049793152992</v>
      </c>
      <c r="L18" s="124">
        <v>84.401589837463661</v>
      </c>
      <c r="M18" s="124">
        <v>95.030321409148328</v>
      </c>
      <c r="N18" s="124">
        <v>99.500165550816433</v>
      </c>
      <c r="O18" s="124">
        <v>120.71738527923787</v>
      </c>
      <c r="P18" s="70">
        <f>P19/P17</f>
        <v>110.45636346885576</v>
      </c>
      <c r="Q18" s="70">
        <f>Q19/Q17</f>
        <v>88.324857957278468</v>
      </c>
      <c r="R18" s="70" t="e">
        <f>R19/R17</f>
        <v>#DIV/0!</v>
      </c>
      <c r="S18" s="70" t="e">
        <f>S19/S17</f>
        <v>#DIV/0!</v>
      </c>
      <c r="T18" s="70">
        <f>T19/T17</f>
        <v>99.405064689395985</v>
      </c>
    </row>
    <row r="19" spans="1:20">
      <c r="A19" s="42">
        <v>9</v>
      </c>
      <c r="B19" s="17" t="s">
        <v>83</v>
      </c>
      <c r="C19" s="42" t="str">
        <f>"("&amp;A17&amp;") x ("&amp;A18&amp;")"</f>
        <v>(7) x (8)</v>
      </c>
      <c r="D19" s="93">
        <f t="shared" ref="D19:O19" si="7">D17*D18</f>
        <v>2474379.2907647751</v>
      </c>
      <c r="E19" s="93">
        <f t="shared" si="7"/>
        <v>2243909.6586969877</v>
      </c>
      <c r="F19" s="93">
        <f t="shared" si="7"/>
        <v>2224998.0581905097</v>
      </c>
      <c r="G19" s="93">
        <f t="shared" si="7"/>
        <v>1850101.0548728842</v>
      </c>
      <c r="H19" s="109">
        <f t="shared" si="7"/>
        <v>1930168.9652971448</v>
      </c>
      <c r="I19" s="109">
        <f t="shared" si="7"/>
        <v>1757345.2743195016</v>
      </c>
      <c r="J19" s="93">
        <f t="shared" si="7"/>
        <v>0</v>
      </c>
      <c r="K19" s="93">
        <f t="shared" si="7"/>
        <v>0</v>
      </c>
      <c r="L19" s="93">
        <f t="shared" si="7"/>
        <v>0</v>
      </c>
      <c r="M19" s="93">
        <f t="shared" si="7"/>
        <v>0</v>
      </c>
      <c r="N19" s="93">
        <f t="shared" si="7"/>
        <v>0</v>
      </c>
      <c r="O19" s="93">
        <f t="shared" si="7"/>
        <v>0</v>
      </c>
      <c r="P19" s="71">
        <f>SUM(D19:F19)</f>
        <v>6943287.0076522725</v>
      </c>
      <c r="Q19" s="71">
        <f>SUM(G19:I19)</f>
        <v>5537615.2944895308</v>
      </c>
      <c r="R19" s="71">
        <f>SUM(J19:L19)</f>
        <v>0</v>
      </c>
      <c r="S19" s="71">
        <f>SUM(M19:O19)</f>
        <v>0</v>
      </c>
      <c r="T19" s="76">
        <f>SUM(D19:O19)</f>
        <v>12480902.302141802</v>
      </c>
    </row>
    <row r="20" spans="1:20" ht="6" customHeight="1">
      <c r="A20" s="64">
        <v>10</v>
      </c>
      <c r="B20" s="17"/>
      <c r="C20" s="42"/>
      <c r="D20" s="94"/>
      <c r="E20" s="94"/>
      <c r="F20" s="94"/>
      <c r="G20" s="94"/>
      <c r="H20" s="176"/>
      <c r="I20" s="176"/>
      <c r="J20" s="94"/>
      <c r="K20" s="94"/>
      <c r="L20" s="94"/>
      <c r="M20" s="94"/>
      <c r="N20" s="94"/>
      <c r="O20" s="94"/>
    </row>
    <row r="21" spans="1:20">
      <c r="A21" s="42">
        <v>11</v>
      </c>
      <c r="B21" s="17" t="s">
        <v>30</v>
      </c>
      <c r="C21" s="42" t="str">
        <f>"("&amp;A13&amp;") - ("&amp;A36&amp;")"</f>
        <v>(3) - (26)</v>
      </c>
      <c r="D21" s="93">
        <f>D13-D36</f>
        <v>3554293.0063100001</v>
      </c>
      <c r="E21" s="109">
        <f t="shared" ref="E21:O22" si="8">E13-E36</f>
        <v>3588305.9913300001</v>
      </c>
      <c r="F21" s="109">
        <f t="shared" si="8"/>
        <v>3278819.0043899994</v>
      </c>
      <c r="G21" s="93">
        <f t="shared" si="8"/>
        <v>3021619.9084700001</v>
      </c>
      <c r="H21" s="109">
        <f t="shared" si="8"/>
        <v>2892821.9186199997</v>
      </c>
      <c r="I21" s="109">
        <f t="shared" si="8"/>
        <v>2930924.9811100001</v>
      </c>
      <c r="J21" s="93">
        <f t="shared" si="8"/>
        <v>0</v>
      </c>
      <c r="K21" s="93">
        <f t="shared" si="8"/>
        <v>0</v>
      </c>
      <c r="L21" s="93">
        <f t="shared" si="8"/>
        <v>0</v>
      </c>
      <c r="M21" s="93">
        <f t="shared" si="8"/>
        <v>0</v>
      </c>
      <c r="N21" s="93">
        <f t="shared" si="8"/>
        <v>0</v>
      </c>
      <c r="O21" s="93">
        <f t="shared" si="8"/>
        <v>0</v>
      </c>
      <c r="P21" s="93">
        <f t="shared" ref="P21:T21" si="9">P13-P36</f>
        <v>10421418.00203</v>
      </c>
      <c r="Q21" s="93">
        <f t="shared" si="9"/>
        <v>8845366.8081999999</v>
      </c>
      <c r="R21" s="93">
        <f t="shared" si="9"/>
        <v>0</v>
      </c>
      <c r="S21" s="93">
        <f t="shared" si="9"/>
        <v>0</v>
      </c>
      <c r="T21" s="93">
        <f t="shared" si="9"/>
        <v>19266784.810230002</v>
      </c>
    </row>
    <row r="22" spans="1:20">
      <c r="A22" s="64">
        <v>12</v>
      </c>
      <c r="B22" s="17" t="s">
        <v>20</v>
      </c>
      <c r="C22" s="42" t="str">
        <f>"("&amp;A14&amp;") - ("&amp;A37&amp;")"</f>
        <v>(4) - (27)</v>
      </c>
      <c r="D22" s="93">
        <f>D14-D37</f>
        <v>276399.40000000002</v>
      </c>
      <c r="E22" s="93">
        <f t="shared" si="8"/>
        <v>272723.08</v>
      </c>
      <c r="F22" s="93">
        <f t="shared" si="8"/>
        <v>274790.48999999993</v>
      </c>
      <c r="G22" s="93">
        <f t="shared" si="8"/>
        <v>274502.64</v>
      </c>
      <c r="H22" s="109">
        <f t="shared" si="8"/>
        <v>275343.23000000004</v>
      </c>
      <c r="I22" s="109">
        <f t="shared" si="8"/>
        <v>272938.77</v>
      </c>
      <c r="J22" s="93">
        <f t="shared" si="8"/>
        <v>0</v>
      </c>
      <c r="K22" s="93">
        <f t="shared" si="8"/>
        <v>0</v>
      </c>
      <c r="L22" s="93">
        <f t="shared" si="8"/>
        <v>0</v>
      </c>
      <c r="M22" s="93">
        <f t="shared" si="8"/>
        <v>0</v>
      </c>
      <c r="N22" s="93">
        <f t="shared" si="8"/>
        <v>0</v>
      </c>
      <c r="O22" s="93">
        <f t="shared" si="8"/>
        <v>0</v>
      </c>
      <c r="P22" s="93">
        <f t="shared" ref="P22:T22" si="10">P14-P37</f>
        <v>823912.97</v>
      </c>
      <c r="Q22" s="93">
        <f t="shared" si="10"/>
        <v>822784.64</v>
      </c>
      <c r="R22" s="93">
        <f t="shared" si="10"/>
        <v>0</v>
      </c>
      <c r="S22" s="93">
        <f t="shared" si="10"/>
        <v>0</v>
      </c>
      <c r="T22" s="93">
        <f t="shared" si="10"/>
        <v>1646697.6099999999</v>
      </c>
    </row>
    <row r="23" spans="1:20">
      <c r="A23" s="42">
        <v>13</v>
      </c>
      <c r="B23" s="2" t="s">
        <v>84</v>
      </c>
      <c r="C23" s="42" t="str">
        <f>"("&amp;A12&amp;") - ("&amp;A38&amp;")"</f>
        <v>(2) - (28)</v>
      </c>
      <c r="D23" s="89">
        <f>D12-D38</f>
        <v>35695033.307609998</v>
      </c>
      <c r="E23" s="89">
        <f t="shared" ref="E23:O23" si="11">E12-E38</f>
        <v>35997658.054010004</v>
      </c>
      <c r="F23" s="89">
        <f t="shared" si="11"/>
        <v>31634013.50499</v>
      </c>
      <c r="G23" s="89">
        <f t="shared" si="11"/>
        <v>28580210.158009999</v>
      </c>
      <c r="H23" s="174">
        <f t="shared" si="11"/>
        <v>26971708.979000002</v>
      </c>
      <c r="I23" s="174">
        <f t="shared" si="11"/>
        <v>28339390.325999998</v>
      </c>
      <c r="J23" s="89">
        <f t="shared" si="11"/>
        <v>0</v>
      </c>
      <c r="K23" s="89">
        <f t="shared" si="11"/>
        <v>0</v>
      </c>
      <c r="L23" s="89">
        <f t="shared" si="11"/>
        <v>0</v>
      </c>
      <c r="M23" s="89">
        <f t="shared" si="11"/>
        <v>0</v>
      </c>
      <c r="N23" s="89">
        <f t="shared" si="11"/>
        <v>0</v>
      </c>
      <c r="O23" s="89">
        <f t="shared" si="11"/>
        <v>0</v>
      </c>
      <c r="P23" s="89">
        <f t="shared" ref="P23:T23" si="12">P12-P38</f>
        <v>103326704.86660999</v>
      </c>
      <c r="Q23" s="89">
        <f t="shared" si="12"/>
        <v>83891309.463009998</v>
      </c>
      <c r="R23" s="89">
        <f t="shared" si="12"/>
        <v>0</v>
      </c>
      <c r="S23" s="89">
        <f t="shared" si="12"/>
        <v>0</v>
      </c>
      <c r="T23" s="89">
        <f t="shared" si="12"/>
        <v>187218014.32961997</v>
      </c>
    </row>
    <row r="24" spans="1:20">
      <c r="A24" s="64">
        <v>14</v>
      </c>
      <c r="B24" s="17" t="s">
        <v>85</v>
      </c>
      <c r="C24" s="42" t="s">
        <v>86</v>
      </c>
      <c r="D24" s="95">
        <v>2.4989999999999998E-2</v>
      </c>
      <c r="E24" s="95">
        <v>2.4989999999999998E-2</v>
      </c>
      <c r="F24" s="95">
        <v>2.4989999999999998E-2</v>
      </c>
      <c r="G24" s="95">
        <v>2.4989999999999998E-2</v>
      </c>
      <c r="H24" s="177">
        <v>2.4989999999999998E-2</v>
      </c>
      <c r="I24" s="177">
        <v>2.4989999999999998E-2</v>
      </c>
      <c r="J24" s="95">
        <v>2.4989999999999998E-2</v>
      </c>
      <c r="K24" s="95">
        <v>2.4989999999999998E-2</v>
      </c>
      <c r="L24" s="95">
        <v>2.4989999999999998E-2</v>
      </c>
      <c r="M24" s="95">
        <v>2.4989999999999998E-2</v>
      </c>
      <c r="N24" s="95">
        <v>2.4989999999999998E-2</v>
      </c>
      <c r="O24" s="95">
        <v>2.4989999999999998E-2</v>
      </c>
      <c r="P24" s="95">
        <f t="shared" ref="P24" si="13">O24</f>
        <v>2.4989999999999998E-2</v>
      </c>
      <c r="Q24" s="95">
        <f t="shared" ref="Q24" si="14">P24</f>
        <v>2.4989999999999998E-2</v>
      </c>
      <c r="R24" s="95">
        <f t="shared" ref="R24" si="15">Q24</f>
        <v>2.4989999999999998E-2</v>
      </c>
      <c r="S24" s="95">
        <f t="shared" ref="S24" si="16">R24</f>
        <v>2.4989999999999998E-2</v>
      </c>
      <c r="T24" s="95">
        <f t="shared" ref="T24" si="17">S24</f>
        <v>2.4989999999999998E-2</v>
      </c>
    </row>
    <row r="25" spans="1:20">
      <c r="A25" s="42">
        <v>15</v>
      </c>
      <c r="B25" s="17" t="s">
        <v>87</v>
      </c>
      <c r="C25" s="42" t="str">
        <f>"("&amp;A23&amp;") x ("&amp;A24&amp;")"</f>
        <v>(13) x (14)</v>
      </c>
      <c r="D25" s="93">
        <f t="shared" ref="D25:O25" si="18">D23*D24</f>
        <v>892018.88235717383</v>
      </c>
      <c r="E25" s="93">
        <f t="shared" si="18"/>
        <v>899581.47476970998</v>
      </c>
      <c r="F25" s="93">
        <f t="shared" si="18"/>
        <v>790533.99748970009</v>
      </c>
      <c r="G25" s="93">
        <f t="shared" si="18"/>
        <v>714219.45184866979</v>
      </c>
      <c r="H25" s="109">
        <f t="shared" si="18"/>
        <v>674023.00738521002</v>
      </c>
      <c r="I25" s="109">
        <f t="shared" si="18"/>
        <v>708201.36424673989</v>
      </c>
      <c r="J25" s="93">
        <f t="shared" si="18"/>
        <v>0</v>
      </c>
      <c r="K25" s="93">
        <f t="shared" si="18"/>
        <v>0</v>
      </c>
      <c r="L25" s="93">
        <f t="shared" si="18"/>
        <v>0</v>
      </c>
      <c r="M25" s="93">
        <f t="shared" si="18"/>
        <v>0</v>
      </c>
      <c r="N25" s="93">
        <f t="shared" si="18"/>
        <v>0</v>
      </c>
      <c r="O25" s="93">
        <f t="shared" si="18"/>
        <v>0</v>
      </c>
      <c r="P25" s="93">
        <f t="shared" ref="P25:T25" si="19">P23*P24</f>
        <v>2582134.3546165833</v>
      </c>
      <c r="Q25" s="93">
        <f t="shared" si="19"/>
        <v>2096443.8234806198</v>
      </c>
      <c r="R25" s="93">
        <f t="shared" si="19"/>
        <v>0</v>
      </c>
      <c r="S25" s="93">
        <f t="shared" si="19"/>
        <v>0</v>
      </c>
      <c r="T25" s="93">
        <f t="shared" si="19"/>
        <v>4678578.1780972024</v>
      </c>
    </row>
    <row r="26" spans="1:20">
      <c r="A26" s="64">
        <v>16</v>
      </c>
      <c r="B26" s="17" t="s">
        <v>88</v>
      </c>
      <c r="C26" s="42" t="str">
        <f>"("&amp;A21&amp;") - ("&amp;A22&amp;") -("&amp;A25&amp;")"</f>
        <v>(11) - (12) -(15)</v>
      </c>
      <c r="D26" s="93">
        <f>D21-D22-D25</f>
        <v>2385874.7239528261</v>
      </c>
      <c r="E26" s="93">
        <f t="shared" ref="E26:O26" si="20">E21-E22-E25</f>
        <v>2416001.4365602899</v>
      </c>
      <c r="F26" s="93">
        <f t="shared" si="20"/>
        <v>2213494.5169002996</v>
      </c>
      <c r="G26" s="93">
        <f t="shared" si="20"/>
        <v>2032897.8166213301</v>
      </c>
      <c r="H26" s="109">
        <f t="shared" si="20"/>
        <v>1943455.6812347895</v>
      </c>
      <c r="I26" s="109">
        <f t="shared" si="20"/>
        <v>1949784.84686326</v>
      </c>
      <c r="J26" s="93">
        <f t="shared" si="20"/>
        <v>0</v>
      </c>
      <c r="K26" s="93">
        <f t="shared" si="20"/>
        <v>0</v>
      </c>
      <c r="L26" s="93">
        <f t="shared" si="20"/>
        <v>0</v>
      </c>
      <c r="M26" s="93">
        <f t="shared" si="20"/>
        <v>0</v>
      </c>
      <c r="N26" s="93">
        <f t="shared" si="20"/>
        <v>0</v>
      </c>
      <c r="O26" s="93">
        <f t="shared" si="20"/>
        <v>0</v>
      </c>
      <c r="P26" s="71">
        <f>SUM(D26:F26)</f>
        <v>7015370.6774134152</v>
      </c>
      <c r="Q26" s="71">
        <f>SUM(G26:I26)</f>
        <v>5926138.3447193801</v>
      </c>
      <c r="R26" s="71">
        <f>SUM(J26:L26)</f>
        <v>0</v>
      </c>
      <c r="S26" s="71">
        <f>SUM(M26:O26)</f>
        <v>0</v>
      </c>
      <c r="T26" s="76">
        <f>SUM(D26:O26)</f>
        <v>12941509.022132795</v>
      </c>
    </row>
    <row r="27" spans="1:20">
      <c r="A27" s="42">
        <v>17</v>
      </c>
      <c r="B27" s="3" t="s">
        <v>21</v>
      </c>
      <c r="C27" s="42"/>
      <c r="D27" s="96">
        <f t="shared" ref="D27:O27" si="21">D26/D17</f>
        <v>113.40247749193527</v>
      </c>
      <c r="E27" s="96">
        <f t="shared" si="21"/>
        <v>115.84203282318229</v>
      </c>
      <c r="F27" s="96">
        <f t="shared" si="21"/>
        <v>105.58046825186261</v>
      </c>
      <c r="G27" s="96">
        <f t="shared" si="21"/>
        <v>97.193431660993028</v>
      </c>
      <c r="H27" s="178">
        <f t="shared" si="21"/>
        <v>92.527884271319252</v>
      </c>
      <c r="I27" s="178">
        <f t="shared" si="21"/>
        <v>93.84794218633327</v>
      </c>
      <c r="J27" s="96" t="e">
        <f t="shared" si="21"/>
        <v>#DIV/0!</v>
      </c>
      <c r="K27" s="96" t="e">
        <f t="shared" si="21"/>
        <v>#DIV/0!</v>
      </c>
      <c r="L27" s="96" t="e">
        <f t="shared" si="21"/>
        <v>#DIV/0!</v>
      </c>
      <c r="M27" s="96" t="e">
        <f t="shared" si="21"/>
        <v>#DIV/0!</v>
      </c>
      <c r="N27" s="96" t="e">
        <f t="shared" si="21"/>
        <v>#DIV/0!</v>
      </c>
      <c r="O27" s="96" t="e">
        <f t="shared" si="21"/>
        <v>#DIV/0!</v>
      </c>
      <c r="P27" s="78">
        <f>P26/P17</f>
        <v>111.60309699989524</v>
      </c>
      <c r="Q27" s="78">
        <f>Q26/Q17</f>
        <v>94.521793172122301</v>
      </c>
      <c r="R27" s="78" t="e">
        <f>R26/R17</f>
        <v>#DIV/0!</v>
      </c>
      <c r="S27" s="78" t="e">
        <f>S26/S17</f>
        <v>#DIV/0!</v>
      </c>
      <c r="T27" s="78">
        <f>T26/T17</f>
        <v>103.07360080070085</v>
      </c>
    </row>
    <row r="28" spans="1:20">
      <c r="A28" s="64">
        <v>18</v>
      </c>
      <c r="B28" s="17" t="s">
        <v>89</v>
      </c>
      <c r="C28" s="42" t="str">
        <f>"("&amp;A$19&amp;") - ("&amp;A26&amp;")"</f>
        <v>(9) - (16)</v>
      </c>
      <c r="D28" s="93">
        <f t="shared" ref="D28:O28" si="22">D19-D26</f>
        <v>88504.566811949015</v>
      </c>
      <c r="E28" s="93">
        <f t="shared" si="22"/>
        <v>-172091.77786330227</v>
      </c>
      <c r="F28" s="93">
        <f t="shared" si="22"/>
        <v>11503.541290210094</v>
      </c>
      <c r="G28" s="93">
        <f t="shared" si="22"/>
        <v>-182796.76174844592</v>
      </c>
      <c r="H28" s="109">
        <f t="shared" si="22"/>
        <v>-13286.715937644709</v>
      </c>
      <c r="I28" s="109">
        <f t="shared" si="22"/>
        <v>-192439.57254375843</v>
      </c>
      <c r="J28" s="93">
        <f t="shared" si="22"/>
        <v>0</v>
      </c>
      <c r="K28" s="93">
        <f t="shared" si="22"/>
        <v>0</v>
      </c>
      <c r="L28" s="93">
        <f t="shared" si="22"/>
        <v>0</v>
      </c>
      <c r="M28" s="93">
        <f t="shared" si="22"/>
        <v>0</v>
      </c>
      <c r="N28" s="93">
        <f t="shared" si="22"/>
        <v>0</v>
      </c>
      <c r="O28" s="93">
        <f t="shared" si="22"/>
        <v>0</v>
      </c>
      <c r="P28" s="71">
        <f>SUM(D28:F28)</f>
        <v>-72083.669761143159</v>
      </c>
      <c r="Q28" s="71">
        <f>SUM(G28:I28)</f>
        <v>-388523.05022984906</v>
      </c>
      <c r="R28" s="71">
        <f>SUM(J28:L28)</f>
        <v>0</v>
      </c>
      <c r="S28" s="71">
        <f>SUM(M28:O28)</f>
        <v>0</v>
      </c>
      <c r="T28" s="76">
        <f>SUM(D28:O28)</f>
        <v>-460606.71999099222</v>
      </c>
    </row>
    <row r="29" spans="1:20" hidden="1">
      <c r="A29" s="42">
        <v>19</v>
      </c>
      <c r="B29" s="17"/>
      <c r="C29" s="42"/>
      <c r="D29" s="93"/>
      <c r="E29" s="93"/>
      <c r="F29" s="93"/>
      <c r="G29" s="93"/>
      <c r="H29" s="109"/>
      <c r="I29" s="109"/>
      <c r="J29" s="93"/>
      <c r="K29" s="93"/>
      <c r="L29" s="93"/>
      <c r="M29" s="93"/>
      <c r="N29" s="93"/>
      <c r="O29" s="93"/>
      <c r="P29" s="71"/>
      <c r="Q29" s="71"/>
      <c r="R29" s="71"/>
      <c r="S29" s="71"/>
      <c r="T29" s="76"/>
    </row>
    <row r="30" spans="1:20" ht="9" customHeight="1">
      <c r="A30" s="64">
        <v>20</v>
      </c>
      <c r="B30" s="17"/>
      <c r="C30" s="42"/>
      <c r="D30" s="93"/>
      <c r="E30" s="93"/>
      <c r="F30" s="93"/>
      <c r="G30" s="93"/>
      <c r="H30" s="109"/>
      <c r="I30" s="109"/>
      <c r="J30" s="93"/>
      <c r="K30" s="93"/>
      <c r="L30" s="93"/>
      <c r="M30" s="93"/>
      <c r="N30" s="93"/>
      <c r="O30" s="93"/>
    </row>
    <row r="31" spans="1:20">
      <c r="A31" s="42">
        <v>21</v>
      </c>
      <c r="B31" s="86" t="s">
        <v>90</v>
      </c>
      <c r="C31" s="42"/>
      <c r="D31" s="93"/>
      <c r="E31" s="93"/>
      <c r="F31" s="93"/>
      <c r="G31" s="93"/>
      <c r="H31" s="109"/>
      <c r="I31" s="109"/>
      <c r="J31" s="93"/>
      <c r="K31" s="93"/>
      <c r="L31" s="93"/>
      <c r="M31" s="93"/>
      <c r="N31" s="93"/>
      <c r="O31" s="93"/>
    </row>
    <row r="32" spans="1:20">
      <c r="A32" s="64">
        <v>22</v>
      </c>
      <c r="B32" s="17" t="s">
        <v>91</v>
      </c>
      <c r="C32" s="42" t="s">
        <v>75</v>
      </c>
      <c r="D32" s="87">
        <v>918</v>
      </c>
      <c r="E32" s="87">
        <v>953</v>
      </c>
      <c r="F32" s="87">
        <v>963</v>
      </c>
      <c r="G32" s="87">
        <v>1001</v>
      </c>
      <c r="H32" s="148">
        <v>1052</v>
      </c>
      <c r="I32" s="148">
        <v>1090</v>
      </c>
      <c r="J32" s="87"/>
      <c r="K32" s="87"/>
      <c r="L32" s="87"/>
      <c r="M32" s="87"/>
      <c r="N32" s="87"/>
      <c r="O32" s="87"/>
      <c r="P32" s="74">
        <f>SUM(D32:F32)</f>
        <v>2834</v>
      </c>
      <c r="Q32" s="74">
        <f>SUM(G32:I32)</f>
        <v>3143</v>
      </c>
      <c r="R32" s="74">
        <f>SUM(J32:L32)</f>
        <v>0</v>
      </c>
      <c r="S32" s="74">
        <f>SUM(M32:O32)</f>
        <v>0</v>
      </c>
      <c r="T32" s="75">
        <f>SUM(D32:O32)</f>
        <v>5977</v>
      </c>
    </row>
    <row r="33" spans="1:20">
      <c r="A33" s="42">
        <v>23</v>
      </c>
      <c r="B33" s="83" t="s">
        <v>81</v>
      </c>
      <c r="C33" s="90" t="s">
        <v>82</v>
      </c>
      <c r="D33" s="123">
        <v>67.11575969472905</v>
      </c>
      <c r="E33" s="123">
        <v>61.398488747128042</v>
      </c>
      <c r="F33" s="123">
        <v>60.564495146984498</v>
      </c>
      <c r="G33" s="91">
        <v>50.477768718989083</v>
      </c>
      <c r="H33" s="179">
        <v>52.441686583515576</v>
      </c>
      <c r="I33" s="179">
        <v>48.270132736062401</v>
      </c>
      <c r="J33" s="91">
        <v>60.991014552245893</v>
      </c>
      <c r="K33" s="91">
        <v>57.523593586081077</v>
      </c>
      <c r="L33" s="91">
        <v>48.165265563740078</v>
      </c>
      <c r="M33" s="91">
        <v>54.230739919635035</v>
      </c>
      <c r="N33" s="91">
        <v>56.781535829126426</v>
      </c>
      <c r="O33" s="91">
        <v>68.889518921762843</v>
      </c>
      <c r="P33" s="70">
        <f>P34/P32</f>
        <v>62.967055752406623</v>
      </c>
      <c r="Q33" s="70">
        <f>Q34/Q32</f>
        <v>50.369502213132186</v>
      </c>
      <c r="R33" s="70" t="e">
        <f>R34/R32</f>
        <v>#DIV/0!</v>
      </c>
      <c r="S33" s="70" t="e">
        <f>S34/S32</f>
        <v>#DIV/0!</v>
      </c>
      <c r="T33" s="70">
        <f>T34/T32</f>
        <v>56.342643710589726</v>
      </c>
    </row>
    <row r="34" spans="1:20">
      <c r="A34" s="64">
        <v>24</v>
      </c>
      <c r="B34" s="17" t="s">
        <v>83</v>
      </c>
      <c r="C34" s="42" t="str">
        <f>"("&amp;A32&amp;") x ("&amp;A33&amp;")"</f>
        <v>(22) x (23)</v>
      </c>
      <c r="D34" s="93">
        <f t="shared" ref="D34:O34" si="23">D32*D33</f>
        <v>61612.267399761266</v>
      </c>
      <c r="E34" s="93">
        <f t="shared" si="23"/>
        <v>58512.759776013023</v>
      </c>
      <c r="F34" s="93">
        <f t="shared" si="23"/>
        <v>58323.608826546071</v>
      </c>
      <c r="G34" s="93">
        <f t="shared" si="23"/>
        <v>50528.246487708071</v>
      </c>
      <c r="H34" s="109">
        <f t="shared" si="23"/>
        <v>55168.654285858385</v>
      </c>
      <c r="I34" s="109">
        <f t="shared" si="23"/>
        <v>52614.444682308014</v>
      </c>
      <c r="J34" s="93">
        <f t="shared" si="23"/>
        <v>0</v>
      </c>
      <c r="K34" s="93">
        <f t="shared" si="23"/>
        <v>0</v>
      </c>
      <c r="L34" s="93">
        <f t="shared" si="23"/>
        <v>0</v>
      </c>
      <c r="M34" s="93">
        <f t="shared" si="23"/>
        <v>0</v>
      </c>
      <c r="N34" s="93">
        <f t="shared" si="23"/>
        <v>0</v>
      </c>
      <c r="O34" s="93">
        <f t="shared" si="23"/>
        <v>0</v>
      </c>
      <c r="P34" s="71">
        <f>SUM(D34:F34)</f>
        <v>178448.63600232036</v>
      </c>
      <c r="Q34" s="71">
        <f>SUM(G34:I34)</f>
        <v>158311.34545587446</v>
      </c>
      <c r="R34" s="71">
        <f>SUM(J34:L34)</f>
        <v>0</v>
      </c>
      <c r="S34" s="71">
        <f>SUM(M34:O34)</f>
        <v>0</v>
      </c>
      <c r="T34" s="76">
        <f>SUM(D34:O34)</f>
        <v>336759.98145819479</v>
      </c>
    </row>
    <row r="35" spans="1:20" ht="6" customHeight="1">
      <c r="A35" s="42">
        <v>25</v>
      </c>
      <c r="B35" s="17"/>
      <c r="C35" s="42"/>
      <c r="D35" s="94"/>
      <c r="E35" s="94"/>
      <c r="F35" s="94"/>
      <c r="G35" s="94"/>
      <c r="H35" s="176"/>
      <c r="I35" s="176"/>
      <c r="J35" s="94"/>
      <c r="K35" s="94"/>
      <c r="L35" s="94"/>
      <c r="M35" s="94"/>
      <c r="N35" s="94"/>
      <c r="O35" s="94"/>
      <c r="P35" s="71"/>
      <c r="Q35" s="71"/>
      <c r="R35" s="71"/>
      <c r="S35" s="71"/>
      <c r="T35" s="76"/>
    </row>
    <row r="36" spans="1:20">
      <c r="A36" s="64">
        <v>26</v>
      </c>
      <c r="B36" s="17" t="s">
        <v>30</v>
      </c>
      <c r="C36" s="42" t="s">
        <v>75</v>
      </c>
      <c r="D36" s="88">
        <v>127241.78</v>
      </c>
      <c r="E36" s="88">
        <v>136172.31999999998</v>
      </c>
      <c r="F36" s="88">
        <v>144585.49000000002</v>
      </c>
      <c r="G36" s="88">
        <v>120218.09000000003</v>
      </c>
      <c r="H36" s="149">
        <v>107519.03999999998</v>
      </c>
      <c r="I36" s="149">
        <v>109097.55</v>
      </c>
      <c r="J36" s="88"/>
      <c r="K36" s="88"/>
      <c r="L36" s="88"/>
      <c r="M36" s="88"/>
      <c r="N36" s="88"/>
      <c r="O36" s="88"/>
      <c r="P36" s="71">
        <f t="shared" ref="P36:P38" si="24">SUM(D36:F36)</f>
        <v>407999.58999999997</v>
      </c>
      <c r="Q36" s="71">
        <f t="shared" ref="Q36:Q38" si="25">SUM(G36:I36)</f>
        <v>336834.68</v>
      </c>
      <c r="R36" s="71">
        <f t="shared" ref="R36:R38" si="26">SUM(J36:L36)</f>
        <v>0</v>
      </c>
      <c r="S36" s="71">
        <f t="shared" ref="S36:S38" si="27">SUM(M36:O36)</f>
        <v>0</v>
      </c>
      <c r="T36" s="76">
        <f t="shared" ref="T36:T38" si="28">SUM(D36:O36)</f>
        <v>744834.27</v>
      </c>
    </row>
    <row r="37" spans="1:20">
      <c r="A37" s="42">
        <v>27</v>
      </c>
      <c r="B37" s="17" t="s">
        <v>20</v>
      </c>
      <c r="C37" s="42" t="s">
        <v>75</v>
      </c>
      <c r="D37" s="88">
        <v>11945.099999999999</v>
      </c>
      <c r="E37" s="88">
        <v>12499.410000000002</v>
      </c>
      <c r="F37" s="88">
        <v>12682.71</v>
      </c>
      <c r="G37" s="88">
        <v>13085.380000000001</v>
      </c>
      <c r="H37" s="149">
        <v>13914.42</v>
      </c>
      <c r="I37" s="149">
        <v>14039.55</v>
      </c>
      <c r="J37" s="88"/>
      <c r="K37" s="88"/>
      <c r="L37" s="88"/>
      <c r="M37" s="88"/>
      <c r="N37" s="88"/>
      <c r="O37" s="88"/>
      <c r="P37" s="71">
        <f t="shared" si="24"/>
        <v>37127.22</v>
      </c>
      <c r="Q37" s="71">
        <f t="shared" si="25"/>
        <v>41039.350000000006</v>
      </c>
      <c r="R37" s="71">
        <f t="shared" si="26"/>
        <v>0</v>
      </c>
      <c r="S37" s="71">
        <f t="shared" si="27"/>
        <v>0</v>
      </c>
      <c r="T37" s="76">
        <f t="shared" si="28"/>
        <v>78166.570000000007</v>
      </c>
    </row>
    <row r="38" spans="1:20">
      <c r="A38" s="64">
        <v>28</v>
      </c>
      <c r="B38" s="2" t="s">
        <v>84</v>
      </c>
      <c r="C38" s="42" t="s">
        <v>75</v>
      </c>
      <c r="D38" s="87">
        <v>1236355.96</v>
      </c>
      <c r="E38" s="87">
        <v>1295558.3399999999</v>
      </c>
      <c r="F38" s="87">
        <v>1392968.72</v>
      </c>
      <c r="G38" s="87">
        <v>1118184.94</v>
      </c>
      <c r="H38" s="148">
        <v>977704.68900000001</v>
      </c>
      <c r="I38" s="148">
        <v>977648.83000000007</v>
      </c>
      <c r="J38" s="87"/>
      <c r="K38" s="87"/>
      <c r="L38" s="87"/>
      <c r="M38" s="87"/>
      <c r="N38" s="87"/>
      <c r="O38" s="87"/>
      <c r="P38" s="158">
        <f t="shared" si="24"/>
        <v>3924883.0199999996</v>
      </c>
      <c r="Q38" s="158">
        <f t="shared" si="25"/>
        <v>3073538.4589999998</v>
      </c>
      <c r="R38" s="158">
        <f t="shared" si="26"/>
        <v>0</v>
      </c>
      <c r="S38" s="158">
        <f t="shared" si="27"/>
        <v>0</v>
      </c>
      <c r="T38" s="159">
        <f t="shared" si="28"/>
        <v>6998421.4789999994</v>
      </c>
    </row>
    <row r="39" spans="1:20">
      <c r="A39" s="42">
        <v>29</v>
      </c>
      <c r="B39" s="17" t="s">
        <v>85</v>
      </c>
      <c r="C39" s="42" t="s">
        <v>86</v>
      </c>
      <c r="D39" s="95">
        <f>$D$24</f>
        <v>2.4989999999999998E-2</v>
      </c>
      <c r="E39" s="95">
        <f>D39</f>
        <v>2.4989999999999998E-2</v>
      </c>
      <c r="F39" s="95">
        <f t="shared" ref="F39:O39" si="29">E39</f>
        <v>2.4989999999999998E-2</v>
      </c>
      <c r="G39" s="95">
        <f t="shared" si="29"/>
        <v>2.4989999999999998E-2</v>
      </c>
      <c r="H39" s="177">
        <f t="shared" si="29"/>
        <v>2.4989999999999998E-2</v>
      </c>
      <c r="I39" s="177">
        <f t="shared" si="29"/>
        <v>2.4989999999999998E-2</v>
      </c>
      <c r="J39" s="95">
        <f t="shared" si="29"/>
        <v>2.4989999999999998E-2</v>
      </c>
      <c r="K39" s="95">
        <f t="shared" si="29"/>
        <v>2.4989999999999998E-2</v>
      </c>
      <c r="L39" s="95">
        <f t="shared" si="29"/>
        <v>2.4989999999999998E-2</v>
      </c>
      <c r="M39" s="95">
        <f t="shared" si="29"/>
        <v>2.4989999999999998E-2</v>
      </c>
      <c r="N39" s="95">
        <f t="shared" si="29"/>
        <v>2.4989999999999998E-2</v>
      </c>
      <c r="O39" s="95">
        <f t="shared" si="29"/>
        <v>2.4989999999999998E-2</v>
      </c>
    </row>
    <row r="40" spans="1:20">
      <c r="A40" s="64">
        <v>30</v>
      </c>
      <c r="B40" s="17" t="s">
        <v>87</v>
      </c>
      <c r="C40" s="42" t="str">
        <f>"("&amp;A38&amp;") x ("&amp;A39&amp;")"</f>
        <v>(28) x (29)</v>
      </c>
      <c r="D40" s="93">
        <f t="shared" ref="D40:O40" si="30">D38*D39</f>
        <v>30896.535440399995</v>
      </c>
      <c r="E40" s="93">
        <f t="shared" si="30"/>
        <v>32376.002916599995</v>
      </c>
      <c r="F40" s="93">
        <f t="shared" si="30"/>
        <v>34810.288312799996</v>
      </c>
      <c r="G40" s="93">
        <f t="shared" si="30"/>
        <v>27943.441650599998</v>
      </c>
      <c r="H40" s="109">
        <f t="shared" si="30"/>
        <v>24432.84017811</v>
      </c>
      <c r="I40" s="109">
        <f t="shared" si="30"/>
        <v>24431.444261699999</v>
      </c>
      <c r="J40" s="93">
        <f t="shared" si="30"/>
        <v>0</v>
      </c>
      <c r="K40" s="93">
        <f t="shared" si="30"/>
        <v>0</v>
      </c>
      <c r="L40" s="93">
        <f t="shared" si="30"/>
        <v>0</v>
      </c>
      <c r="M40" s="93">
        <f t="shared" si="30"/>
        <v>0</v>
      </c>
      <c r="N40" s="93">
        <f t="shared" si="30"/>
        <v>0</v>
      </c>
      <c r="O40" s="93">
        <f t="shared" si="30"/>
        <v>0</v>
      </c>
    </row>
    <row r="41" spans="1:20">
      <c r="A41" s="42">
        <v>31</v>
      </c>
      <c r="B41" s="97" t="s">
        <v>92</v>
      </c>
      <c r="C41" s="42" t="s">
        <v>93</v>
      </c>
      <c r="D41" s="125">
        <v>2.9763999999999999E-2</v>
      </c>
      <c r="E41" s="95">
        <f>D41</f>
        <v>2.9763999999999999E-2</v>
      </c>
      <c r="F41" s="95">
        <f t="shared" ref="F41:O41" si="31">E41</f>
        <v>2.9763999999999999E-2</v>
      </c>
      <c r="G41" s="95">
        <f t="shared" si="31"/>
        <v>2.9763999999999999E-2</v>
      </c>
      <c r="H41" s="177">
        <f t="shared" si="31"/>
        <v>2.9763999999999999E-2</v>
      </c>
      <c r="I41" s="177">
        <f t="shared" si="31"/>
        <v>2.9763999999999999E-2</v>
      </c>
      <c r="J41" s="95">
        <f t="shared" si="31"/>
        <v>2.9763999999999999E-2</v>
      </c>
      <c r="K41" s="95">
        <f t="shared" si="31"/>
        <v>2.9763999999999999E-2</v>
      </c>
      <c r="L41" s="95">
        <f t="shared" si="31"/>
        <v>2.9763999999999999E-2</v>
      </c>
      <c r="M41" s="95">
        <f t="shared" si="31"/>
        <v>2.9763999999999999E-2</v>
      </c>
      <c r="N41" s="95">
        <f t="shared" si="31"/>
        <v>2.9763999999999999E-2</v>
      </c>
      <c r="O41" s="95">
        <f t="shared" si="31"/>
        <v>2.9763999999999999E-2</v>
      </c>
    </row>
    <row r="42" spans="1:20">
      <c r="A42" s="64">
        <v>32</v>
      </c>
      <c r="B42" s="97" t="s">
        <v>94</v>
      </c>
      <c r="C42" s="42" t="str">
        <f>"("&amp;A40&amp;") x ("&amp;A41&amp;")"</f>
        <v>(30) x (31)</v>
      </c>
      <c r="D42" s="93">
        <f>D38*D41</f>
        <v>36798.898793439999</v>
      </c>
      <c r="E42" s="93">
        <f t="shared" ref="E42:O42" si="32">E38*E41</f>
        <v>38560.998431759996</v>
      </c>
      <c r="F42" s="93">
        <f t="shared" si="32"/>
        <v>41460.320982079997</v>
      </c>
      <c r="G42" s="93">
        <f t="shared" si="32"/>
        <v>33281.656554159999</v>
      </c>
      <c r="H42" s="109">
        <f t="shared" si="32"/>
        <v>29100.402363395999</v>
      </c>
      <c r="I42" s="109">
        <f t="shared" si="32"/>
        <v>29098.739776120001</v>
      </c>
      <c r="J42" s="93">
        <f t="shared" si="32"/>
        <v>0</v>
      </c>
      <c r="K42" s="93">
        <f t="shared" si="32"/>
        <v>0</v>
      </c>
      <c r="L42" s="93">
        <f t="shared" si="32"/>
        <v>0</v>
      </c>
      <c r="M42" s="93">
        <f t="shared" si="32"/>
        <v>0</v>
      </c>
      <c r="N42" s="93">
        <f t="shared" si="32"/>
        <v>0</v>
      </c>
      <c r="O42" s="93">
        <f t="shared" si="32"/>
        <v>0</v>
      </c>
    </row>
    <row r="43" spans="1:20">
      <c r="A43" s="42">
        <v>33</v>
      </c>
      <c r="B43" s="17" t="s">
        <v>88</v>
      </c>
      <c r="C43" s="42" t="str">
        <f>"("&amp;A36&amp;") - ("&amp;A37&amp;") - ("&amp;A40&amp;") - ("&amp;A42&amp;")"</f>
        <v>(26) - (27) - (30) - (32)</v>
      </c>
      <c r="D43" s="93">
        <f>D36-D37-D40-D42</f>
        <v>47601.245766159998</v>
      </c>
      <c r="E43" s="93">
        <f t="shared" ref="E43:O43" si="33">E36-E37-E40-E42</f>
        <v>52735.908651639977</v>
      </c>
      <c r="F43" s="93">
        <f t="shared" si="33"/>
        <v>55632.170705120036</v>
      </c>
      <c r="G43" s="93">
        <f t="shared" si="33"/>
        <v>45907.611795240024</v>
      </c>
      <c r="H43" s="109">
        <f t="shared" si="33"/>
        <v>40071.377458493982</v>
      </c>
      <c r="I43" s="109">
        <f t="shared" si="33"/>
        <v>41527.81596218</v>
      </c>
      <c r="J43" s="93">
        <f t="shared" si="33"/>
        <v>0</v>
      </c>
      <c r="K43" s="93">
        <f t="shared" si="33"/>
        <v>0</v>
      </c>
      <c r="L43" s="93">
        <f t="shared" si="33"/>
        <v>0</v>
      </c>
      <c r="M43" s="93">
        <f t="shared" si="33"/>
        <v>0</v>
      </c>
      <c r="N43" s="93">
        <f t="shared" si="33"/>
        <v>0</v>
      </c>
      <c r="O43" s="93">
        <f t="shared" si="33"/>
        <v>0</v>
      </c>
      <c r="P43" s="71">
        <f>SUM(D43:F43)</f>
        <v>155969.32512292001</v>
      </c>
      <c r="Q43" s="71">
        <f>SUM(G43:I43)</f>
        <v>127506.80521591401</v>
      </c>
      <c r="R43" s="71">
        <f>SUM(J43:L43)</f>
        <v>0</v>
      </c>
      <c r="S43" s="71">
        <f>SUM(M43:O43)</f>
        <v>0</v>
      </c>
      <c r="T43" s="76">
        <f>SUM(D43:O43)</f>
        <v>283476.13033883402</v>
      </c>
    </row>
    <row r="44" spans="1:20">
      <c r="A44" s="64">
        <v>34</v>
      </c>
      <c r="B44" s="3" t="s">
        <v>21</v>
      </c>
      <c r="C44" s="42"/>
      <c r="D44" s="96">
        <f t="shared" ref="D44:O44" si="34">D43/D32</f>
        <v>51.853208895599124</v>
      </c>
      <c r="E44" s="96">
        <f t="shared" si="34"/>
        <v>55.336735206337856</v>
      </c>
      <c r="F44" s="96">
        <f t="shared" si="34"/>
        <v>57.76964766886816</v>
      </c>
      <c r="G44" s="96">
        <f t="shared" si="34"/>
        <v>45.861750045194832</v>
      </c>
      <c r="H44" s="178">
        <f t="shared" si="34"/>
        <v>38.090662983359302</v>
      </c>
      <c r="I44" s="178">
        <f t="shared" si="34"/>
        <v>38.09891372677064</v>
      </c>
      <c r="J44" s="96" t="e">
        <f t="shared" si="34"/>
        <v>#DIV/0!</v>
      </c>
      <c r="K44" s="96" t="e">
        <f t="shared" si="34"/>
        <v>#DIV/0!</v>
      </c>
      <c r="L44" s="96" t="e">
        <f t="shared" si="34"/>
        <v>#DIV/0!</v>
      </c>
      <c r="M44" s="96" t="e">
        <f t="shared" si="34"/>
        <v>#DIV/0!</v>
      </c>
      <c r="N44" s="96" t="e">
        <f t="shared" si="34"/>
        <v>#DIV/0!</v>
      </c>
      <c r="O44" s="96" t="e">
        <f t="shared" si="34"/>
        <v>#DIV/0!</v>
      </c>
      <c r="P44" s="78">
        <f>P43/P32</f>
        <v>55.035047679223716</v>
      </c>
      <c r="Q44" s="78">
        <f t="shared" ref="Q44:T44" si="35">Q43/Q32</f>
        <v>40.568503091286672</v>
      </c>
      <c r="R44" s="78" t="e">
        <f>R43/R32</f>
        <v>#DIV/0!</v>
      </c>
      <c r="S44" s="78" t="e">
        <f t="shared" si="35"/>
        <v>#DIV/0!</v>
      </c>
      <c r="T44" s="78">
        <f t="shared" si="35"/>
        <v>47.427828398667231</v>
      </c>
    </row>
    <row r="45" spans="1:20">
      <c r="A45" s="42">
        <v>35</v>
      </c>
      <c r="B45" s="17" t="s">
        <v>95</v>
      </c>
      <c r="C45" s="42" t="str">
        <f>"("&amp;A$19&amp;") - ("&amp;A43&amp;")"</f>
        <v>(9) - (33)</v>
      </c>
      <c r="D45" s="93">
        <f t="shared" ref="D45:O45" si="36">D34-D43</f>
        <v>14011.021633601267</v>
      </c>
      <c r="E45" s="93">
        <f t="shared" si="36"/>
        <v>5776.8511243730463</v>
      </c>
      <c r="F45" s="93">
        <f t="shared" si="36"/>
        <v>2691.4381214260357</v>
      </c>
      <c r="G45" s="93">
        <f t="shared" si="36"/>
        <v>4620.6346924680474</v>
      </c>
      <c r="H45" s="109">
        <f t="shared" si="36"/>
        <v>15097.276827364403</v>
      </c>
      <c r="I45" s="109">
        <f t="shared" si="36"/>
        <v>11086.628720128014</v>
      </c>
      <c r="J45" s="93">
        <f t="shared" si="36"/>
        <v>0</v>
      </c>
      <c r="K45" s="93">
        <f t="shared" si="36"/>
        <v>0</v>
      </c>
      <c r="L45" s="93">
        <f t="shared" si="36"/>
        <v>0</v>
      </c>
      <c r="M45" s="93">
        <f t="shared" si="36"/>
        <v>0</v>
      </c>
      <c r="N45" s="93">
        <f t="shared" si="36"/>
        <v>0</v>
      </c>
      <c r="O45" s="93">
        <f t="shared" si="36"/>
        <v>0</v>
      </c>
      <c r="P45" s="71">
        <f>SUM(D45:F45)</f>
        <v>22479.310879400349</v>
      </c>
      <c r="Q45" s="71">
        <f>SUM(G45:I45)</f>
        <v>30804.540239960465</v>
      </c>
      <c r="R45" s="71">
        <f>SUM(J45:L45)</f>
        <v>0</v>
      </c>
      <c r="S45" s="71">
        <f>SUM(M45:O45)</f>
        <v>0</v>
      </c>
      <c r="T45" s="76">
        <f>SUM(D45:O45)</f>
        <v>53283.851119360814</v>
      </c>
    </row>
    <row r="46" spans="1:20" ht="6" customHeight="1">
      <c r="A46" s="64">
        <v>36</v>
      </c>
      <c r="B46" s="17"/>
      <c r="C46" s="42"/>
      <c r="D46" s="93"/>
      <c r="E46" s="93"/>
      <c r="F46" s="93"/>
      <c r="G46" s="93"/>
      <c r="H46" s="109"/>
      <c r="I46" s="109"/>
      <c r="J46" s="93"/>
      <c r="K46" s="93"/>
      <c r="L46" s="93"/>
      <c r="M46" s="93"/>
      <c r="N46" s="93"/>
      <c r="O46" s="93"/>
    </row>
    <row r="47" spans="1:20">
      <c r="A47" s="98">
        <v>37</v>
      </c>
      <c r="B47" s="99" t="s">
        <v>106</v>
      </c>
      <c r="C47" s="98" t="str">
        <f>"("&amp;A$28&amp;") + ("&amp;A45&amp;")"</f>
        <v>(18) + (35)</v>
      </c>
      <c r="D47" s="100">
        <f>D28+D45</f>
        <v>102515.58844555028</v>
      </c>
      <c r="E47" s="100">
        <f>E28+E45</f>
        <v>-166314.92673892924</v>
      </c>
      <c r="F47" s="100">
        <f t="shared" ref="F47:O47" si="37">F28+F45</f>
        <v>14194.97941163613</v>
      </c>
      <c r="G47" s="100">
        <f t="shared" si="37"/>
        <v>-178176.12705597788</v>
      </c>
      <c r="H47" s="180">
        <f t="shared" si="37"/>
        <v>1810.5608897196944</v>
      </c>
      <c r="I47" s="180">
        <f t="shared" si="37"/>
        <v>-181352.94382363043</v>
      </c>
      <c r="J47" s="100">
        <f t="shared" si="37"/>
        <v>0</v>
      </c>
      <c r="K47" s="100">
        <f t="shared" si="37"/>
        <v>0</v>
      </c>
      <c r="L47" s="100">
        <f t="shared" si="37"/>
        <v>0</v>
      </c>
      <c r="M47" s="100">
        <f t="shared" si="37"/>
        <v>0</v>
      </c>
      <c r="N47" s="100">
        <f t="shared" si="37"/>
        <v>0</v>
      </c>
      <c r="O47" s="100">
        <f t="shared" si="37"/>
        <v>0</v>
      </c>
      <c r="P47" s="100">
        <f t="shared" ref="P47:P48" si="38">SUM(D47:F47)</f>
        <v>-49604.358881742824</v>
      </c>
      <c r="Q47" s="100">
        <f t="shared" ref="Q47:Q48" si="39">SUM(G47:I47)</f>
        <v>-357718.50998988864</v>
      </c>
      <c r="R47" s="100">
        <f t="shared" ref="R47:R48" si="40">SUM(J47:L47)</f>
        <v>0</v>
      </c>
      <c r="S47" s="100">
        <f t="shared" ref="S47:S48" si="41">SUM(M47:O47)</f>
        <v>0</v>
      </c>
      <c r="T47" s="100">
        <f t="shared" ref="T47:T48" si="42">SUM(D47:O47)</f>
        <v>-407322.86887163145</v>
      </c>
    </row>
    <row r="48" spans="1:20">
      <c r="A48" s="101">
        <v>38</v>
      </c>
      <c r="B48" s="99" t="s">
        <v>22</v>
      </c>
      <c r="C48" s="133" t="s">
        <v>23</v>
      </c>
      <c r="D48" s="100">
        <f>D47*-0.005838</f>
        <v>-598.48600534512252</v>
      </c>
      <c r="E48" s="100">
        <f t="shared" ref="E48:O48" si="43">E47*-0.005838</f>
        <v>970.94654230186893</v>
      </c>
      <c r="F48" s="100">
        <f t="shared" si="43"/>
        <v>-82.870289805131733</v>
      </c>
      <c r="G48" s="100">
        <f t="shared" si="43"/>
        <v>1040.192229752799</v>
      </c>
      <c r="H48" s="180">
        <f t="shared" si="43"/>
        <v>-10.570054474183577</v>
      </c>
      <c r="I48" s="180">
        <f t="shared" si="43"/>
        <v>1058.7384860423545</v>
      </c>
      <c r="J48" s="100">
        <f t="shared" si="43"/>
        <v>0</v>
      </c>
      <c r="K48" s="100">
        <f t="shared" si="43"/>
        <v>0</v>
      </c>
      <c r="L48" s="100">
        <f t="shared" si="43"/>
        <v>0</v>
      </c>
      <c r="M48" s="100">
        <f t="shared" si="43"/>
        <v>0</v>
      </c>
      <c r="N48" s="100">
        <f t="shared" si="43"/>
        <v>0</v>
      </c>
      <c r="O48" s="100">
        <f t="shared" si="43"/>
        <v>0</v>
      </c>
      <c r="P48" s="100">
        <f t="shared" si="38"/>
        <v>289.59024715161468</v>
      </c>
      <c r="Q48" s="100">
        <f t="shared" si="39"/>
        <v>2088.3606613209699</v>
      </c>
      <c r="R48" s="100">
        <f t="shared" si="40"/>
        <v>0</v>
      </c>
      <c r="S48" s="100">
        <f t="shared" si="41"/>
        <v>0</v>
      </c>
      <c r="T48" s="100">
        <f t="shared" si="42"/>
        <v>2377.9509084725846</v>
      </c>
    </row>
    <row r="49" spans="1:20">
      <c r="A49" s="42">
        <v>39</v>
      </c>
      <c r="B49" s="17"/>
      <c r="C49" s="42" t="s">
        <v>97</v>
      </c>
      <c r="D49" s="103">
        <v>0.02</v>
      </c>
      <c r="E49" s="103">
        <f t="shared" ref="E49:I49" si="44">D49</f>
        <v>0.02</v>
      </c>
      <c r="F49" s="103">
        <f t="shared" si="44"/>
        <v>0.02</v>
      </c>
      <c r="G49" s="103">
        <f t="shared" si="44"/>
        <v>0.02</v>
      </c>
      <c r="H49" s="181">
        <f t="shared" si="44"/>
        <v>0.02</v>
      </c>
      <c r="I49" s="181">
        <f t="shared" si="44"/>
        <v>0.02</v>
      </c>
      <c r="J49" s="181">
        <v>0</v>
      </c>
      <c r="K49" s="181">
        <f t="shared" ref="K49" si="45">J49</f>
        <v>0</v>
      </c>
      <c r="L49" s="181">
        <f t="shared" ref="L49:M49" si="46">K49</f>
        <v>0</v>
      </c>
      <c r="M49" s="181">
        <f t="shared" si="46"/>
        <v>0</v>
      </c>
      <c r="N49" s="103">
        <f t="shared" ref="N49" si="47">M49</f>
        <v>0</v>
      </c>
      <c r="O49" s="103">
        <f t="shared" ref="O49" si="48">N49</f>
        <v>0</v>
      </c>
    </row>
    <row r="50" spans="1:20">
      <c r="A50" s="101">
        <v>40</v>
      </c>
      <c r="B50" s="99" t="s">
        <v>24</v>
      </c>
      <c r="C50" s="98" t="s">
        <v>28</v>
      </c>
      <c r="D50" s="104">
        <f>(D47+D48)/2*D49/12</f>
        <v>84.930918700170963</v>
      </c>
      <c r="E50" s="104">
        <f>(D53+(E47+E48)/2)*E49/12</f>
        <v>32.216738767652735</v>
      </c>
      <c r="F50" s="104">
        <f t="shared" ref="F50:O50" si="49">(E53+(F47+F48)/2)*F49/12</f>
        <v>-93.756125896731476</v>
      </c>
      <c r="G50" s="104">
        <f t="shared" si="49"/>
        <v>-229.76557419355444</v>
      </c>
      <c r="H50" s="182">
        <f t="shared" si="49"/>
        <v>-376.26180347636</v>
      </c>
      <c r="I50" s="182">
        <f t="shared" si="49"/>
        <v>-525.63408523410601</v>
      </c>
      <c r="J50" s="104">
        <f t="shared" si="49"/>
        <v>0</v>
      </c>
      <c r="K50" s="104">
        <f t="shared" si="49"/>
        <v>0</v>
      </c>
      <c r="L50" s="104">
        <f t="shared" si="49"/>
        <v>0</v>
      </c>
      <c r="M50" s="104">
        <f t="shared" si="49"/>
        <v>0</v>
      </c>
      <c r="N50" s="104">
        <f t="shared" si="49"/>
        <v>0</v>
      </c>
      <c r="O50" s="104">
        <f t="shared" si="49"/>
        <v>0</v>
      </c>
      <c r="P50" s="104">
        <f>SUM(D50:F50)</f>
        <v>23.39153157109223</v>
      </c>
      <c r="Q50" s="104">
        <f>SUM(G50:I50)</f>
        <v>-1131.6614629040205</v>
      </c>
      <c r="R50" s="104">
        <f>SUM(J50:L50)</f>
        <v>0</v>
      </c>
      <c r="S50" s="104">
        <f>SUM(M50:O50)</f>
        <v>0</v>
      </c>
      <c r="T50" s="104">
        <f>SUM(D50:O50)</f>
        <v>-1108.2699313329281</v>
      </c>
    </row>
    <row r="51" spans="1:20">
      <c r="A51" s="105">
        <v>41</v>
      </c>
      <c r="B51" s="106" t="s">
        <v>107</v>
      </c>
      <c r="C51" s="107"/>
      <c r="D51" s="108">
        <f>D47+D48+D50</f>
        <v>102002.03335890533</v>
      </c>
      <c r="E51" s="108">
        <f>E47+E48+E50</f>
        <v>-165311.76345785972</v>
      </c>
      <c r="F51" s="108">
        <f t="shared" ref="F51:O51" si="50">F47+F48+F50</f>
        <v>14018.352995934267</v>
      </c>
      <c r="G51" s="108">
        <f t="shared" si="50"/>
        <v>-177365.70040041863</v>
      </c>
      <c r="H51" s="193">
        <f t="shared" si="50"/>
        <v>1423.7290317691509</v>
      </c>
      <c r="I51" s="193">
        <f t="shared" si="50"/>
        <v>-180819.83942282217</v>
      </c>
      <c r="J51" s="108">
        <f t="shared" si="50"/>
        <v>0</v>
      </c>
      <c r="K51" s="108">
        <f t="shared" si="50"/>
        <v>0</v>
      </c>
      <c r="L51" s="108">
        <f t="shared" si="50"/>
        <v>0</v>
      </c>
      <c r="M51" s="108">
        <f t="shared" si="50"/>
        <v>0</v>
      </c>
      <c r="N51" s="108">
        <f t="shared" si="50"/>
        <v>0</v>
      </c>
      <c r="O51" s="108">
        <f t="shared" si="50"/>
        <v>0</v>
      </c>
      <c r="P51" s="108">
        <f>P47+P48+P50</f>
        <v>-49291.377103020117</v>
      </c>
      <c r="Q51" s="108">
        <f t="shared" ref="Q51:T51" si="51">Q47+Q48+Q50</f>
        <v>-356761.81079147168</v>
      </c>
      <c r="R51" s="108">
        <f t="shared" si="51"/>
        <v>0</v>
      </c>
      <c r="S51" s="108">
        <f t="shared" si="51"/>
        <v>0</v>
      </c>
      <c r="T51" s="108">
        <f t="shared" si="51"/>
        <v>-406053.18789449177</v>
      </c>
    </row>
    <row r="52" spans="1:20" ht="6" customHeight="1">
      <c r="A52" s="64">
        <v>42</v>
      </c>
      <c r="B52" s="17"/>
      <c r="C52" s="42"/>
      <c r="D52" s="94"/>
      <c r="E52" s="94"/>
      <c r="F52" s="94"/>
      <c r="G52" s="94"/>
      <c r="H52" s="176"/>
      <c r="I52" s="176"/>
      <c r="J52" s="94"/>
      <c r="K52" s="94"/>
      <c r="L52" s="94"/>
      <c r="M52" s="94"/>
      <c r="N52" s="94"/>
      <c r="O52" s="94"/>
    </row>
    <row r="53" spans="1:20">
      <c r="A53" s="42">
        <v>43</v>
      </c>
      <c r="B53" s="17" t="s">
        <v>108</v>
      </c>
      <c r="C53" s="42" t="str">
        <f>"Σ(("&amp;A$47&amp;"), ("&amp;A48&amp;"), ("&amp;A50&amp;"))"</f>
        <v>Σ((37), (38), (40))</v>
      </c>
      <c r="D53" s="93">
        <f>D47+D48+D50</f>
        <v>102002.03335890533</v>
      </c>
      <c r="E53" s="93">
        <f>D53+E47+E48+E50</f>
        <v>-63309.73009895438</v>
      </c>
      <c r="F53" s="93">
        <f t="shared" ref="F53:O53" si="52">E53+F47+F48+F50</f>
        <v>-49291.377103020117</v>
      </c>
      <c r="G53" s="93">
        <f t="shared" si="52"/>
        <v>-226657.07750343875</v>
      </c>
      <c r="H53" s="109">
        <f t="shared" si="52"/>
        <v>-225233.3484716696</v>
      </c>
      <c r="I53" s="109">
        <f t="shared" si="52"/>
        <v>-406053.18789449177</v>
      </c>
      <c r="J53" s="93">
        <f t="shared" si="52"/>
        <v>-406053.18789449177</v>
      </c>
      <c r="K53" s="93">
        <f t="shared" si="52"/>
        <v>-406053.18789449177</v>
      </c>
      <c r="L53" s="93">
        <f t="shared" si="52"/>
        <v>-406053.18789449177</v>
      </c>
      <c r="M53" s="93">
        <f t="shared" si="52"/>
        <v>-406053.18789449177</v>
      </c>
      <c r="N53" s="93">
        <f t="shared" si="52"/>
        <v>-406053.18789449177</v>
      </c>
      <c r="O53" s="93">
        <f t="shared" si="52"/>
        <v>-406053.18789449177</v>
      </c>
    </row>
    <row r="54" spans="1:20" hidden="1">
      <c r="A54" s="42"/>
      <c r="B54" s="17"/>
      <c r="C54" s="42"/>
      <c r="D54" s="93"/>
      <c r="E54" s="93"/>
      <c r="F54" s="93"/>
      <c r="G54" s="93"/>
      <c r="H54" s="109"/>
      <c r="I54" s="109"/>
      <c r="J54" s="93"/>
      <c r="K54" s="93"/>
      <c r="L54" s="93"/>
      <c r="M54" s="93"/>
      <c r="N54" s="93"/>
      <c r="O54" s="109"/>
    </row>
    <row r="55" spans="1:20">
      <c r="A55" s="42"/>
      <c r="B55" s="1" t="s">
        <v>104</v>
      </c>
      <c r="C55" s="42"/>
      <c r="D55" s="93"/>
      <c r="E55" s="93"/>
      <c r="F55" s="93"/>
      <c r="G55" s="93"/>
      <c r="H55" s="109"/>
      <c r="I55" s="109"/>
      <c r="J55" s="93"/>
      <c r="K55" s="93"/>
      <c r="L55" s="93"/>
      <c r="M55" s="93"/>
      <c r="N55" s="93"/>
      <c r="O55" s="93"/>
    </row>
    <row r="56" spans="1:20" ht="6" customHeight="1">
      <c r="A56" s="42"/>
      <c r="B56" s="1"/>
      <c r="C56" s="42"/>
      <c r="D56" s="93"/>
      <c r="E56" s="93"/>
      <c r="F56" s="93"/>
      <c r="G56" s="93"/>
      <c r="H56" s="109"/>
      <c r="I56" s="109"/>
      <c r="J56" s="93"/>
      <c r="K56" s="93"/>
      <c r="L56" s="93"/>
      <c r="M56" s="93"/>
      <c r="N56" s="93"/>
      <c r="O56" s="93"/>
    </row>
    <row r="57" spans="1:20">
      <c r="A57" s="42">
        <v>1</v>
      </c>
      <c r="B57" s="17" t="s">
        <v>74</v>
      </c>
      <c r="C57" s="42" t="s">
        <v>75</v>
      </c>
      <c r="D57" s="87">
        <v>1073</v>
      </c>
      <c r="E57" s="87">
        <v>1063</v>
      </c>
      <c r="F57" s="87">
        <v>1071</v>
      </c>
      <c r="G57" s="110">
        <v>1066</v>
      </c>
      <c r="H57" s="183">
        <v>1071</v>
      </c>
      <c r="I57" s="183">
        <v>1059</v>
      </c>
      <c r="J57" s="110"/>
      <c r="K57" s="110"/>
      <c r="L57" s="110"/>
      <c r="M57" s="110"/>
      <c r="N57" s="110"/>
      <c r="O57" s="110"/>
      <c r="P57" s="74">
        <f t="shared" ref="P57" si="53">SUM(D57:F57)</f>
        <v>3207</v>
      </c>
      <c r="Q57" s="74">
        <f t="shared" ref="Q57" si="54">SUM(G57:I57)</f>
        <v>3196</v>
      </c>
      <c r="R57" s="74">
        <f t="shared" ref="R57" si="55">SUM(J57:L57)</f>
        <v>0</v>
      </c>
      <c r="S57" s="74">
        <f t="shared" ref="S57" si="56">SUM(M57:O57)</f>
        <v>0</v>
      </c>
      <c r="T57" s="75">
        <f t="shared" ref="T57" si="57">SUM(D57:O57)</f>
        <v>6403</v>
      </c>
    </row>
    <row r="58" spans="1:20">
      <c r="A58" s="42">
        <v>2</v>
      </c>
      <c r="B58" s="17" t="s">
        <v>76</v>
      </c>
      <c r="C58" s="42" t="s">
        <v>75</v>
      </c>
      <c r="D58" s="87">
        <v>53748208.799999997</v>
      </c>
      <c r="E58" s="87">
        <v>56588967.399999999</v>
      </c>
      <c r="F58" s="87">
        <v>49453696.200000003</v>
      </c>
      <c r="G58" s="110">
        <v>52974383.600000001</v>
      </c>
      <c r="H58" s="183">
        <v>51544835.200000003</v>
      </c>
      <c r="I58" s="183">
        <v>53279774.799999997</v>
      </c>
      <c r="J58" s="110"/>
      <c r="K58" s="110"/>
      <c r="L58" s="110"/>
      <c r="M58" s="110"/>
      <c r="N58" s="110"/>
      <c r="O58" s="110"/>
      <c r="P58" s="74">
        <f t="shared" ref="P58:P60" si="58">SUM(D58:F58)</f>
        <v>159790872.39999998</v>
      </c>
      <c r="Q58" s="74">
        <f t="shared" ref="Q58:Q60" si="59">SUM(G58:I58)</f>
        <v>157798993.60000002</v>
      </c>
      <c r="R58" s="74">
        <f t="shared" ref="R58:R60" si="60">SUM(J58:L58)</f>
        <v>0</v>
      </c>
      <c r="S58" s="74">
        <f t="shared" ref="S58:S60" si="61">SUM(M58:O58)</f>
        <v>0</v>
      </c>
      <c r="T58" s="75">
        <f t="shared" ref="T58:T60" si="62">SUM(D58:O58)</f>
        <v>317589866</v>
      </c>
    </row>
    <row r="59" spans="1:20">
      <c r="A59" s="42">
        <v>3</v>
      </c>
      <c r="B59" s="17" t="s">
        <v>77</v>
      </c>
      <c r="C59" s="42" t="s">
        <v>75</v>
      </c>
      <c r="D59" s="88">
        <v>4293626.1107000001</v>
      </c>
      <c r="E59" s="88">
        <v>4435197.7104900004</v>
      </c>
      <c r="F59" s="88">
        <v>4136462.2142499997</v>
      </c>
      <c r="G59" s="111">
        <v>4365128.1920799995</v>
      </c>
      <c r="H59" s="184">
        <v>4242836.1950300001</v>
      </c>
      <c r="I59" s="184">
        <v>4275357.6775000002</v>
      </c>
      <c r="J59" s="111"/>
      <c r="K59" s="111"/>
      <c r="L59" s="111"/>
      <c r="M59" s="111"/>
      <c r="N59" s="111"/>
      <c r="O59" s="111"/>
      <c r="P59" s="161">
        <f t="shared" si="58"/>
        <v>12865286.03544</v>
      </c>
      <c r="Q59" s="161">
        <f t="shared" si="59"/>
        <v>12883322.064609999</v>
      </c>
      <c r="R59" s="161">
        <f t="shared" si="60"/>
        <v>0</v>
      </c>
      <c r="S59" s="161">
        <f t="shared" si="61"/>
        <v>0</v>
      </c>
      <c r="T59" s="162">
        <f t="shared" si="62"/>
        <v>25748608.100050002</v>
      </c>
    </row>
    <row r="60" spans="1:20">
      <c r="A60" s="42">
        <v>4</v>
      </c>
      <c r="B60" s="17" t="s">
        <v>78</v>
      </c>
      <c r="C60" s="42" t="s">
        <v>75</v>
      </c>
      <c r="D60" s="88">
        <v>456364.99</v>
      </c>
      <c r="E60" s="88">
        <v>450330.01</v>
      </c>
      <c r="F60" s="88">
        <v>455741.67</v>
      </c>
      <c r="G60" s="111">
        <v>453248.33</v>
      </c>
      <c r="H60" s="184">
        <v>455642.5</v>
      </c>
      <c r="I60" s="184">
        <v>449465.83</v>
      </c>
      <c r="J60" s="111"/>
      <c r="K60" s="111"/>
      <c r="L60" s="111"/>
      <c r="M60" s="111"/>
      <c r="N60" s="111"/>
      <c r="O60" s="111"/>
      <c r="P60" s="161">
        <f t="shared" si="58"/>
        <v>1362436.67</v>
      </c>
      <c r="Q60" s="161">
        <f t="shared" si="59"/>
        <v>1358356.6600000001</v>
      </c>
      <c r="R60" s="161">
        <f t="shared" si="60"/>
        <v>0</v>
      </c>
      <c r="S60" s="161">
        <f t="shared" si="61"/>
        <v>0</v>
      </c>
      <c r="T60" s="162">
        <f t="shared" si="62"/>
        <v>2720793.33</v>
      </c>
    </row>
    <row r="61" spans="1:20" ht="6" customHeight="1">
      <c r="A61" s="42">
        <v>5</v>
      </c>
      <c r="B61" s="17"/>
      <c r="C61" s="42"/>
      <c r="D61" s="93"/>
      <c r="E61" s="93"/>
      <c r="F61" s="93"/>
      <c r="G61" s="93"/>
      <c r="H61" s="109"/>
      <c r="I61" s="109"/>
      <c r="J61" s="93"/>
      <c r="K61" s="93"/>
      <c r="L61" s="93"/>
      <c r="M61" s="93"/>
      <c r="N61" s="93"/>
      <c r="O61" s="93"/>
      <c r="P61" s="74"/>
      <c r="Q61" s="74"/>
      <c r="R61" s="74"/>
      <c r="S61" s="74"/>
      <c r="T61" s="75"/>
    </row>
    <row r="62" spans="1:20">
      <c r="A62" s="42">
        <v>6</v>
      </c>
      <c r="B62" s="86" t="str">
        <f t="shared" ref="B62" si="63">B16</f>
        <v>Existing Customers</v>
      </c>
      <c r="C62" s="42"/>
      <c r="D62" s="93"/>
      <c r="E62" s="93"/>
      <c r="F62" s="93"/>
      <c r="G62" s="93"/>
      <c r="H62" s="109"/>
      <c r="I62" s="109"/>
      <c r="J62" s="93"/>
      <c r="K62" s="93"/>
      <c r="L62" s="93"/>
      <c r="M62" s="93"/>
      <c r="N62" s="93"/>
      <c r="O62" s="93"/>
      <c r="P62" s="74"/>
      <c r="Q62" s="74"/>
      <c r="R62" s="74"/>
      <c r="S62" s="74"/>
      <c r="T62" s="75"/>
    </row>
    <row r="63" spans="1:20">
      <c r="A63" s="42">
        <v>7</v>
      </c>
      <c r="B63" s="17" t="str">
        <f>B17</f>
        <v>Actual Customers on System During Test Year</v>
      </c>
      <c r="C63" s="42" t="str">
        <f>C17</f>
        <v>(1) - (22)</v>
      </c>
      <c r="D63" s="89">
        <f>D57-D78</f>
        <v>1055</v>
      </c>
      <c r="E63" s="89">
        <f t="shared" ref="E63:O63" si="64">E57-E78</f>
        <v>1045</v>
      </c>
      <c r="F63" s="89">
        <f t="shared" si="64"/>
        <v>1052</v>
      </c>
      <c r="G63" s="89">
        <f t="shared" si="64"/>
        <v>1049</v>
      </c>
      <c r="H63" s="174">
        <f t="shared" si="64"/>
        <v>1054</v>
      </c>
      <c r="I63" s="174">
        <f t="shared" si="64"/>
        <v>1042</v>
      </c>
      <c r="J63" s="89">
        <f t="shared" si="64"/>
        <v>0</v>
      </c>
      <c r="K63" s="89">
        <f t="shared" si="64"/>
        <v>0</v>
      </c>
      <c r="L63" s="89">
        <f t="shared" si="64"/>
        <v>0</v>
      </c>
      <c r="M63" s="89">
        <f t="shared" si="64"/>
        <v>0</v>
      </c>
      <c r="N63" s="89">
        <f t="shared" si="64"/>
        <v>0</v>
      </c>
      <c r="O63" s="89">
        <f t="shared" si="64"/>
        <v>0</v>
      </c>
      <c r="P63" s="74">
        <f>SUM(D63:F63)</f>
        <v>3152</v>
      </c>
      <c r="Q63" s="74">
        <f>SUM(G63:I63)</f>
        <v>3145</v>
      </c>
      <c r="R63" s="74">
        <f>SUM(J63:L63)</f>
        <v>0</v>
      </c>
      <c r="S63" s="74">
        <f>SUM(M63:O63)</f>
        <v>0</v>
      </c>
      <c r="T63" s="75">
        <f>SUM(D63:O63)</f>
        <v>6297</v>
      </c>
    </row>
    <row r="64" spans="1:20">
      <c r="A64" s="90">
        <v>8</v>
      </c>
      <c r="B64" s="17" t="str">
        <f t="shared" ref="B64:C79" si="65">B18</f>
        <v>Monthly Fixed Cost Adj. Revenue per Customer</v>
      </c>
      <c r="C64" s="42" t="str">
        <f t="shared" si="65"/>
        <v>Page 3</v>
      </c>
      <c r="D64" s="123">
        <v>2255.6019412856672</v>
      </c>
      <c r="E64" s="123">
        <v>2319.4118417162781</v>
      </c>
      <c r="F64" s="123">
        <v>2130.0547197905112</v>
      </c>
      <c r="G64" s="123">
        <v>2277.3586106298085</v>
      </c>
      <c r="H64" s="185">
        <v>2313.7349182762628</v>
      </c>
      <c r="I64" s="185">
        <v>2116.1960515259416</v>
      </c>
      <c r="J64" s="123">
        <v>2426.9913992233382</v>
      </c>
      <c r="K64" s="123">
        <v>2284.6917998639833</v>
      </c>
      <c r="L64" s="123">
        <v>2060.6560667697695</v>
      </c>
      <c r="M64" s="123">
        <v>2310.0616763547032</v>
      </c>
      <c r="N64" s="123">
        <v>2230.5352487699893</v>
      </c>
      <c r="O64" s="123">
        <v>2415.4657257937456</v>
      </c>
      <c r="P64" s="70">
        <f>P65/P63</f>
        <v>2234.8550088418492</v>
      </c>
      <c r="Q64" s="70">
        <f>Q65/Q63</f>
        <v>2236.1532820680068</v>
      </c>
      <c r="R64" s="70" t="e">
        <f>R65/R63</f>
        <v>#DIV/0!</v>
      </c>
      <c r="S64" s="70" t="e">
        <f>S65/S63</f>
        <v>#DIV/0!</v>
      </c>
      <c r="T64" s="70">
        <f>T65/T63</f>
        <v>2235.5034238484022</v>
      </c>
    </row>
    <row r="65" spans="1:20">
      <c r="A65" s="42">
        <v>9</v>
      </c>
      <c r="B65" s="17" t="str">
        <f t="shared" si="65"/>
        <v>Fixed Cost Adjustment Revenue</v>
      </c>
      <c r="C65" s="42" t="str">
        <f t="shared" si="65"/>
        <v>(7) x (8)</v>
      </c>
      <c r="D65" s="93">
        <f t="shared" ref="D65:O65" si="66">D63*D64</f>
        <v>2379660.048056379</v>
      </c>
      <c r="E65" s="93">
        <f t="shared" si="66"/>
        <v>2423785.3745935108</v>
      </c>
      <c r="F65" s="93">
        <f t="shared" si="66"/>
        <v>2240817.5652196179</v>
      </c>
      <c r="G65" s="93">
        <f t="shared" si="66"/>
        <v>2388949.1825506692</v>
      </c>
      <c r="H65" s="109">
        <f t="shared" si="66"/>
        <v>2438676.6038631811</v>
      </c>
      <c r="I65" s="109">
        <f t="shared" si="66"/>
        <v>2205076.285690031</v>
      </c>
      <c r="J65" s="93">
        <f t="shared" si="66"/>
        <v>0</v>
      </c>
      <c r="K65" s="93">
        <f t="shared" si="66"/>
        <v>0</v>
      </c>
      <c r="L65" s="93">
        <f t="shared" si="66"/>
        <v>0</v>
      </c>
      <c r="M65" s="93">
        <f t="shared" si="66"/>
        <v>0</v>
      </c>
      <c r="N65" s="93">
        <f t="shared" si="66"/>
        <v>0</v>
      </c>
      <c r="O65" s="93">
        <f t="shared" si="66"/>
        <v>0</v>
      </c>
      <c r="P65" s="71">
        <f>SUM(D65:F65)</f>
        <v>7044262.9878695086</v>
      </c>
      <c r="Q65" s="71">
        <f>SUM(G65:I65)</f>
        <v>7032702.0721038813</v>
      </c>
      <c r="R65" s="71">
        <f>SUM(J65:L65)</f>
        <v>0</v>
      </c>
      <c r="S65" s="71">
        <f>SUM(M65:O65)</f>
        <v>0</v>
      </c>
      <c r="T65" s="76">
        <f>SUM(D65:O65)</f>
        <v>14076965.059973389</v>
      </c>
    </row>
    <row r="66" spans="1:20" ht="6" customHeight="1">
      <c r="A66" s="42">
        <v>10</v>
      </c>
      <c r="B66" s="17"/>
      <c r="C66" s="42"/>
      <c r="D66" s="94"/>
      <c r="E66" s="94"/>
      <c r="F66" s="94"/>
      <c r="G66" s="94"/>
      <c r="H66" s="176"/>
      <c r="I66" s="176"/>
      <c r="J66" s="94"/>
      <c r="K66" s="94"/>
      <c r="L66" s="94"/>
      <c r="M66" s="94"/>
      <c r="N66" s="94"/>
      <c r="O66" s="94"/>
    </row>
    <row r="67" spans="1:20">
      <c r="A67" s="42">
        <v>11</v>
      </c>
      <c r="B67" s="17" t="str">
        <f t="shared" si="65"/>
        <v>Actual Base Rate Revenue</v>
      </c>
      <c r="C67" s="42" t="str">
        <f t="shared" si="65"/>
        <v>(3) - (26)</v>
      </c>
      <c r="D67" s="93">
        <f>D59-D82</f>
        <v>4210498.7006999999</v>
      </c>
      <c r="E67" s="93">
        <f t="shared" ref="E67:O68" si="67">E59-E82</f>
        <v>4348703.2104900004</v>
      </c>
      <c r="F67" s="93">
        <f t="shared" si="67"/>
        <v>4053471.6142499996</v>
      </c>
      <c r="G67" s="93">
        <f t="shared" si="67"/>
        <v>4293042.1020799996</v>
      </c>
      <c r="H67" s="109">
        <f t="shared" si="67"/>
        <v>4178893.0650300002</v>
      </c>
      <c r="I67" s="109">
        <f t="shared" si="67"/>
        <v>4215872.2275</v>
      </c>
      <c r="J67" s="93">
        <f t="shared" si="67"/>
        <v>0</v>
      </c>
      <c r="K67" s="93">
        <f t="shared" si="67"/>
        <v>0</v>
      </c>
      <c r="L67" s="93">
        <f t="shared" si="67"/>
        <v>0</v>
      </c>
      <c r="M67" s="93">
        <f t="shared" si="67"/>
        <v>0</v>
      </c>
      <c r="N67" s="93">
        <f t="shared" si="67"/>
        <v>0</v>
      </c>
      <c r="O67" s="93">
        <f t="shared" si="67"/>
        <v>0</v>
      </c>
      <c r="P67" s="93">
        <f t="shared" ref="P67:T67" si="68">P59-P82</f>
        <v>12612673.52544</v>
      </c>
      <c r="Q67" s="93">
        <f t="shared" si="68"/>
        <v>12687807.394609999</v>
      </c>
      <c r="R67" s="93">
        <f t="shared" si="68"/>
        <v>0</v>
      </c>
      <c r="S67" s="93">
        <f t="shared" si="68"/>
        <v>0</v>
      </c>
      <c r="T67" s="93">
        <f t="shared" si="68"/>
        <v>25300480.920050003</v>
      </c>
    </row>
    <row r="68" spans="1:20">
      <c r="A68" s="42">
        <v>12</v>
      </c>
      <c r="B68" s="17" t="str">
        <f t="shared" si="65"/>
        <v>Actual Fixed Charge Revenue</v>
      </c>
      <c r="C68" s="42" t="str">
        <f t="shared" si="65"/>
        <v>(4) - (27)</v>
      </c>
      <c r="D68" s="93">
        <f>D60-D83</f>
        <v>448714.99</v>
      </c>
      <c r="E68" s="93">
        <f t="shared" si="67"/>
        <v>442680.01</v>
      </c>
      <c r="F68" s="93">
        <f t="shared" si="67"/>
        <v>447666.67</v>
      </c>
      <c r="G68" s="93">
        <f t="shared" si="67"/>
        <v>446023.33</v>
      </c>
      <c r="H68" s="109">
        <f t="shared" si="67"/>
        <v>448417.5</v>
      </c>
      <c r="I68" s="109">
        <f t="shared" si="67"/>
        <v>442240.83</v>
      </c>
      <c r="J68" s="93">
        <f t="shared" si="67"/>
        <v>0</v>
      </c>
      <c r="K68" s="93">
        <f t="shared" si="67"/>
        <v>0</v>
      </c>
      <c r="L68" s="93">
        <f t="shared" si="67"/>
        <v>0</v>
      </c>
      <c r="M68" s="93">
        <f t="shared" si="67"/>
        <v>0</v>
      </c>
      <c r="N68" s="93">
        <f t="shared" si="67"/>
        <v>0</v>
      </c>
      <c r="O68" s="93">
        <f t="shared" si="67"/>
        <v>0</v>
      </c>
      <c r="P68" s="93">
        <f t="shared" ref="P68:T68" si="69">P60-P83</f>
        <v>1339061.67</v>
      </c>
      <c r="Q68" s="93">
        <f t="shared" si="69"/>
        <v>1336681.6600000001</v>
      </c>
      <c r="R68" s="93">
        <f t="shared" si="69"/>
        <v>0</v>
      </c>
      <c r="S68" s="93">
        <f t="shared" si="69"/>
        <v>0</v>
      </c>
      <c r="T68" s="93">
        <f t="shared" si="69"/>
        <v>2675743.33</v>
      </c>
    </row>
    <row r="69" spans="1:20">
      <c r="A69" s="42">
        <v>13</v>
      </c>
      <c r="B69" s="17" t="str">
        <f t="shared" si="65"/>
        <v>Actual Usage (kWhs)</v>
      </c>
      <c r="C69" s="42" t="str">
        <f t="shared" si="65"/>
        <v>(2) - (28)</v>
      </c>
      <c r="D69" s="89">
        <f>D58-D84</f>
        <v>52684088.799999997</v>
      </c>
      <c r="E69" s="89">
        <f t="shared" ref="E69:O69" si="70">E58-E84</f>
        <v>55514854.399999999</v>
      </c>
      <c r="F69" s="89">
        <f t="shared" si="70"/>
        <v>48431173.200000003</v>
      </c>
      <c r="G69" s="89">
        <f t="shared" si="70"/>
        <v>52101663.600000001</v>
      </c>
      <c r="H69" s="174">
        <f t="shared" si="70"/>
        <v>50801115.200000003</v>
      </c>
      <c r="I69" s="174">
        <f t="shared" si="70"/>
        <v>52567334.799999997</v>
      </c>
      <c r="J69" s="89">
        <f t="shared" si="70"/>
        <v>0</v>
      </c>
      <c r="K69" s="89">
        <f t="shared" si="70"/>
        <v>0</v>
      </c>
      <c r="L69" s="89">
        <f t="shared" si="70"/>
        <v>0</v>
      </c>
      <c r="M69" s="89">
        <f t="shared" si="70"/>
        <v>0</v>
      </c>
      <c r="N69" s="89">
        <f t="shared" si="70"/>
        <v>0</v>
      </c>
      <c r="O69" s="89">
        <f t="shared" si="70"/>
        <v>0</v>
      </c>
      <c r="P69" s="89">
        <f t="shared" ref="P69:T69" si="71">P58-P84</f>
        <v>156630116.39999998</v>
      </c>
      <c r="Q69" s="89">
        <f t="shared" si="71"/>
        <v>155470113.60000002</v>
      </c>
      <c r="R69" s="89">
        <f t="shared" si="71"/>
        <v>0</v>
      </c>
      <c r="S69" s="89">
        <f t="shared" si="71"/>
        <v>0</v>
      </c>
      <c r="T69" s="89">
        <f t="shared" si="71"/>
        <v>312100230</v>
      </c>
    </row>
    <row r="70" spans="1:20">
      <c r="A70" s="42">
        <v>14</v>
      </c>
      <c r="B70" s="17" t="str">
        <f t="shared" si="65"/>
        <v>Load Change Adjustment Rate ($/kWh)</v>
      </c>
      <c r="C70" s="42" t="str">
        <f t="shared" si="65"/>
        <v>Page 1</v>
      </c>
      <c r="D70" s="95">
        <f>D24</f>
        <v>2.4989999999999998E-2</v>
      </c>
      <c r="E70" s="95">
        <f t="shared" ref="E70:O70" si="72">E24</f>
        <v>2.4989999999999998E-2</v>
      </c>
      <c r="F70" s="95">
        <f t="shared" si="72"/>
        <v>2.4989999999999998E-2</v>
      </c>
      <c r="G70" s="95">
        <f t="shared" si="72"/>
        <v>2.4989999999999998E-2</v>
      </c>
      <c r="H70" s="177">
        <f t="shared" si="72"/>
        <v>2.4989999999999998E-2</v>
      </c>
      <c r="I70" s="177">
        <f t="shared" si="72"/>
        <v>2.4989999999999998E-2</v>
      </c>
      <c r="J70" s="95">
        <f t="shared" si="72"/>
        <v>2.4989999999999998E-2</v>
      </c>
      <c r="K70" s="95">
        <f t="shared" si="72"/>
        <v>2.4989999999999998E-2</v>
      </c>
      <c r="L70" s="95">
        <f t="shared" si="72"/>
        <v>2.4989999999999998E-2</v>
      </c>
      <c r="M70" s="95">
        <f t="shared" si="72"/>
        <v>2.4989999999999998E-2</v>
      </c>
      <c r="N70" s="95">
        <f t="shared" si="72"/>
        <v>2.4989999999999998E-2</v>
      </c>
      <c r="O70" s="95">
        <f t="shared" si="72"/>
        <v>2.4989999999999998E-2</v>
      </c>
      <c r="P70" s="95">
        <f t="shared" ref="P70:T70" si="73">P24</f>
        <v>2.4989999999999998E-2</v>
      </c>
      <c r="Q70" s="95">
        <f t="shared" si="73"/>
        <v>2.4989999999999998E-2</v>
      </c>
      <c r="R70" s="95">
        <f t="shared" si="73"/>
        <v>2.4989999999999998E-2</v>
      </c>
      <c r="S70" s="95">
        <f t="shared" si="73"/>
        <v>2.4989999999999998E-2</v>
      </c>
      <c r="T70" s="95">
        <f t="shared" si="73"/>
        <v>2.4989999999999998E-2</v>
      </c>
    </row>
    <row r="71" spans="1:20">
      <c r="A71" s="42">
        <v>15</v>
      </c>
      <c r="B71" s="17" t="str">
        <f t="shared" si="65"/>
        <v>Variable Power Supply Revenue</v>
      </c>
      <c r="C71" s="42" t="str">
        <f t="shared" si="65"/>
        <v>(13) x (14)</v>
      </c>
      <c r="D71" s="93">
        <f t="shared" ref="D71:O71" si="74">D69*D70</f>
        <v>1316575.3791119999</v>
      </c>
      <c r="E71" s="93">
        <f t="shared" si="74"/>
        <v>1387316.2114559999</v>
      </c>
      <c r="F71" s="93">
        <f t="shared" si="74"/>
        <v>1210295.0182680001</v>
      </c>
      <c r="G71" s="93">
        <f t="shared" si="74"/>
        <v>1302020.5733639998</v>
      </c>
      <c r="H71" s="109">
        <f t="shared" si="74"/>
        <v>1269519.868848</v>
      </c>
      <c r="I71" s="109">
        <f t="shared" si="74"/>
        <v>1313657.6966519998</v>
      </c>
      <c r="J71" s="93">
        <f t="shared" si="74"/>
        <v>0</v>
      </c>
      <c r="K71" s="93">
        <f t="shared" si="74"/>
        <v>0</v>
      </c>
      <c r="L71" s="93">
        <f t="shared" si="74"/>
        <v>0</v>
      </c>
      <c r="M71" s="93">
        <f t="shared" si="74"/>
        <v>0</v>
      </c>
      <c r="N71" s="93">
        <f t="shared" si="74"/>
        <v>0</v>
      </c>
      <c r="O71" s="93">
        <f t="shared" si="74"/>
        <v>0</v>
      </c>
      <c r="P71" s="93">
        <f t="shared" ref="P71:T71" si="75">P69*P70</f>
        <v>3914186.6088359989</v>
      </c>
      <c r="Q71" s="93">
        <f t="shared" si="75"/>
        <v>3885198.1388640003</v>
      </c>
      <c r="R71" s="93">
        <f t="shared" si="75"/>
        <v>0</v>
      </c>
      <c r="S71" s="93">
        <f t="shared" si="75"/>
        <v>0</v>
      </c>
      <c r="T71" s="93">
        <f t="shared" si="75"/>
        <v>7799384.7476999993</v>
      </c>
    </row>
    <row r="72" spans="1:20">
      <c r="A72" s="42">
        <v>16</v>
      </c>
      <c r="B72" s="17" t="str">
        <f t="shared" si="65"/>
        <v>Customer Fixed Cost Adjustment Revenue</v>
      </c>
      <c r="C72" s="42" t="str">
        <f t="shared" si="65"/>
        <v>(11) - (12) -(15)</v>
      </c>
      <c r="D72" s="93">
        <f>D67-D68-D71</f>
        <v>2445208.3315880001</v>
      </c>
      <c r="E72" s="93">
        <f t="shared" ref="E72:O72" si="76">E67-E68-E71</f>
        <v>2518706.9890340008</v>
      </c>
      <c r="F72" s="93">
        <f t="shared" si="76"/>
        <v>2395509.9259819994</v>
      </c>
      <c r="G72" s="93">
        <f t="shared" si="76"/>
        <v>2544998.1987159997</v>
      </c>
      <c r="H72" s="109">
        <f t="shared" si="76"/>
        <v>2460955.6961820005</v>
      </c>
      <c r="I72" s="109">
        <f t="shared" si="76"/>
        <v>2459973.7008480001</v>
      </c>
      <c r="J72" s="93">
        <f t="shared" si="76"/>
        <v>0</v>
      </c>
      <c r="K72" s="93">
        <f t="shared" si="76"/>
        <v>0</v>
      </c>
      <c r="L72" s="93">
        <f t="shared" si="76"/>
        <v>0</v>
      </c>
      <c r="M72" s="93">
        <f t="shared" si="76"/>
        <v>0</v>
      </c>
      <c r="N72" s="93">
        <f t="shared" si="76"/>
        <v>0</v>
      </c>
      <c r="O72" s="93">
        <f t="shared" si="76"/>
        <v>0</v>
      </c>
      <c r="P72" s="71">
        <f>SUM(D72:F72)</f>
        <v>7359425.2466040002</v>
      </c>
      <c r="Q72" s="71">
        <f>SUM(G72:I72)</f>
        <v>7465927.5957460003</v>
      </c>
      <c r="R72" s="71">
        <f>SUM(J72:L72)</f>
        <v>0</v>
      </c>
      <c r="S72" s="71">
        <f>SUM(M72:O72)</f>
        <v>0</v>
      </c>
      <c r="T72" s="76">
        <f>SUM(D72:O72)</f>
        <v>14825352.842350001</v>
      </c>
    </row>
    <row r="73" spans="1:20">
      <c r="A73" s="42">
        <v>17</v>
      </c>
      <c r="B73" s="3" t="s">
        <v>27</v>
      </c>
      <c r="C73" s="42"/>
      <c r="D73" s="112">
        <f>D72/D63</f>
        <v>2317.7330157232227</v>
      </c>
      <c r="E73" s="112">
        <f t="shared" ref="E73:O73" si="77">E72/E63</f>
        <v>2410.2459225205748</v>
      </c>
      <c r="F73" s="112">
        <f t="shared" si="77"/>
        <v>2277.1006900969578</v>
      </c>
      <c r="G73" s="112">
        <f t="shared" si="77"/>
        <v>2426.1183972507147</v>
      </c>
      <c r="H73" s="186">
        <f t="shared" si="77"/>
        <v>2334.8725770227707</v>
      </c>
      <c r="I73" s="186">
        <f t="shared" si="77"/>
        <v>2360.819290641075</v>
      </c>
      <c r="J73" s="112" t="e">
        <f t="shared" si="77"/>
        <v>#DIV/0!</v>
      </c>
      <c r="K73" s="112" t="e">
        <f t="shared" si="77"/>
        <v>#DIV/0!</v>
      </c>
      <c r="L73" s="112" t="e">
        <f t="shared" si="77"/>
        <v>#DIV/0!</v>
      </c>
      <c r="M73" s="112" t="e">
        <f t="shared" si="77"/>
        <v>#DIV/0!</v>
      </c>
      <c r="N73" s="112" t="e">
        <f t="shared" si="77"/>
        <v>#DIV/0!</v>
      </c>
      <c r="O73" s="112" t="e">
        <f t="shared" si="77"/>
        <v>#DIV/0!</v>
      </c>
      <c r="P73" s="78">
        <f>P72/P63</f>
        <v>2334.8430350901017</v>
      </c>
      <c r="Q73" s="78">
        <f>Q72/Q63</f>
        <v>2373.9038460241654</v>
      </c>
      <c r="R73" s="78" t="e">
        <f>R72/R63</f>
        <v>#DIV/0!</v>
      </c>
      <c r="S73" s="78" t="e">
        <f>S72/S63</f>
        <v>#DIV/0!</v>
      </c>
      <c r="T73" s="78">
        <f>T72/T63</f>
        <v>2354.3517297681437</v>
      </c>
    </row>
    <row r="74" spans="1:20">
      <c r="A74" s="42">
        <v>18</v>
      </c>
      <c r="B74" s="17" t="str">
        <f t="shared" si="65"/>
        <v>Existing Customer Deferral - Surcharge (Rebate)</v>
      </c>
      <c r="C74" s="42" t="str">
        <f t="shared" si="65"/>
        <v>(9) - (16)</v>
      </c>
      <c r="D74" s="93">
        <f>D65-D72</f>
        <v>-65548.283531621099</v>
      </c>
      <c r="E74" s="93">
        <f t="shared" ref="E74:O74" si="78">E65-E72</f>
        <v>-94921.614440490026</v>
      </c>
      <c r="F74" s="93">
        <f t="shared" si="78"/>
        <v>-154692.36076238146</v>
      </c>
      <c r="G74" s="93">
        <f t="shared" si="78"/>
        <v>-156049.01616533054</v>
      </c>
      <c r="H74" s="109">
        <f t="shared" si="78"/>
        <v>-22279.09231881937</v>
      </c>
      <c r="I74" s="109">
        <f t="shared" si="78"/>
        <v>-254897.41515796911</v>
      </c>
      <c r="J74" s="93">
        <f t="shared" si="78"/>
        <v>0</v>
      </c>
      <c r="K74" s="93">
        <f t="shared" si="78"/>
        <v>0</v>
      </c>
      <c r="L74" s="93">
        <f t="shared" si="78"/>
        <v>0</v>
      </c>
      <c r="M74" s="93">
        <f t="shared" si="78"/>
        <v>0</v>
      </c>
      <c r="N74" s="93">
        <f t="shared" si="78"/>
        <v>0</v>
      </c>
      <c r="O74" s="93">
        <f t="shared" si="78"/>
        <v>0</v>
      </c>
      <c r="P74" s="71">
        <f>SUM(D74:F74)</f>
        <v>-315162.25873449259</v>
      </c>
      <c r="Q74" s="71">
        <f>SUM(G74:I74)</f>
        <v>-433225.52364211902</v>
      </c>
      <c r="R74" s="71">
        <f>SUM(J74:L74)</f>
        <v>0</v>
      </c>
      <c r="S74" s="71">
        <f>SUM(M74:O74)</f>
        <v>0</v>
      </c>
      <c r="T74" s="76">
        <f>SUM(D74:O74)</f>
        <v>-748387.78237661161</v>
      </c>
    </row>
    <row r="75" spans="1:20" hidden="1">
      <c r="A75" s="42">
        <v>19</v>
      </c>
      <c r="B75" s="17"/>
      <c r="C75" s="42"/>
      <c r="D75" s="93"/>
      <c r="E75" s="93"/>
      <c r="F75" s="93"/>
      <c r="G75" s="93"/>
      <c r="H75" s="109"/>
      <c r="I75" s="109"/>
      <c r="J75" s="93"/>
      <c r="K75" s="93"/>
      <c r="L75" s="93"/>
      <c r="M75" s="93"/>
      <c r="N75" s="93"/>
      <c r="O75" s="93"/>
      <c r="P75" s="71"/>
      <c r="Q75" s="71"/>
      <c r="R75" s="71"/>
      <c r="S75" s="71"/>
      <c r="T75" s="76"/>
    </row>
    <row r="76" spans="1:20" ht="9" customHeight="1">
      <c r="A76" s="42">
        <v>20</v>
      </c>
      <c r="B76" s="17"/>
      <c r="C76" s="42"/>
      <c r="D76" s="93"/>
      <c r="E76" s="93"/>
      <c r="F76" s="93"/>
      <c r="G76" s="93"/>
      <c r="H76" s="109"/>
      <c r="I76" s="109"/>
      <c r="J76" s="93"/>
      <c r="K76" s="93"/>
      <c r="L76" s="93"/>
      <c r="M76" s="93"/>
      <c r="N76" s="93"/>
      <c r="O76" s="93"/>
    </row>
    <row r="77" spans="1:20">
      <c r="A77" s="42">
        <v>21</v>
      </c>
      <c r="B77" s="86" t="str">
        <f t="shared" ref="B77:C91" si="79">B31</f>
        <v>New Customers</v>
      </c>
      <c r="C77" s="42"/>
      <c r="D77" s="93"/>
      <c r="E77" s="93"/>
      <c r="F77" s="93"/>
      <c r="G77" s="93"/>
      <c r="H77" s="109"/>
      <c r="I77" s="109"/>
      <c r="J77" s="93"/>
      <c r="K77" s="93"/>
      <c r="L77" s="93"/>
      <c r="M77" s="93"/>
      <c r="N77" s="93"/>
      <c r="O77" s="93"/>
    </row>
    <row r="78" spans="1:20">
      <c r="A78" s="42">
        <v>22</v>
      </c>
      <c r="B78" s="17" t="str">
        <f t="shared" si="79"/>
        <v>Actual Customers New Since Test Year</v>
      </c>
      <c r="C78" s="42" t="str">
        <f t="shared" si="65"/>
        <v>Revenue Reports</v>
      </c>
      <c r="D78" s="87">
        <v>18</v>
      </c>
      <c r="E78" s="87">
        <v>18</v>
      </c>
      <c r="F78" s="87">
        <v>19</v>
      </c>
      <c r="G78" s="110">
        <v>17</v>
      </c>
      <c r="H78" s="183">
        <v>17</v>
      </c>
      <c r="I78" s="183">
        <v>17</v>
      </c>
      <c r="J78" s="110"/>
      <c r="K78" s="110"/>
      <c r="L78" s="110"/>
      <c r="M78" s="110"/>
      <c r="N78" s="110"/>
      <c r="O78" s="110"/>
      <c r="P78" s="74">
        <f>SUM(D78:F78)</f>
        <v>55</v>
      </c>
      <c r="Q78" s="74">
        <f>SUM(G78:I78)</f>
        <v>51</v>
      </c>
      <c r="R78" s="74">
        <f>SUM(J78:L78)</f>
        <v>0</v>
      </c>
      <c r="S78" s="74">
        <f>SUM(M78:O78)</f>
        <v>0</v>
      </c>
      <c r="T78" s="75">
        <f>SUM(D78:O78)</f>
        <v>106</v>
      </c>
    </row>
    <row r="79" spans="1:20">
      <c r="A79" s="42">
        <v>23</v>
      </c>
      <c r="B79" s="17" t="str">
        <f t="shared" si="79"/>
        <v>Monthly Fixed Cost Adj. Revenue per Customer</v>
      </c>
      <c r="C79" s="42" t="str">
        <f t="shared" si="65"/>
        <v>Page 3</v>
      </c>
      <c r="D79" s="123">
        <v>1015.7587023657594</v>
      </c>
      <c r="E79" s="123">
        <v>1044.4940303831406</v>
      </c>
      <c r="F79" s="123">
        <v>959.22138500609356</v>
      </c>
      <c r="G79" s="123">
        <v>1025.5563203835065</v>
      </c>
      <c r="H79" s="185">
        <v>1041.9375578596364</v>
      </c>
      <c r="I79" s="185">
        <v>952.98045098521175</v>
      </c>
      <c r="J79" s="123">
        <v>1092.9400215548669</v>
      </c>
      <c r="K79" s="123">
        <v>1028.8586542946318</v>
      </c>
      <c r="L79" s="123">
        <v>927.96929018917717</v>
      </c>
      <c r="M79" s="123">
        <v>1040.2833974426649</v>
      </c>
      <c r="N79" s="123">
        <v>1004.4704911808491</v>
      </c>
      <c r="O79" s="123">
        <v>1087.7496983544613</v>
      </c>
      <c r="P79" s="70">
        <f>P80/P78</f>
        <v>1005.6319182653814</v>
      </c>
      <c r="Q79" s="70">
        <f>Q80/Q78</f>
        <v>1006.8247764094515</v>
      </c>
      <c r="R79" s="70" t="e">
        <f>R80/R78</f>
        <v>#DIV/0!</v>
      </c>
      <c r="S79" s="70" t="e">
        <f>S80/S78</f>
        <v>#DIV/0!</v>
      </c>
      <c r="T79" s="70">
        <f>T80/T78</f>
        <v>1006.2058405799813</v>
      </c>
    </row>
    <row r="80" spans="1:20">
      <c r="A80" s="42">
        <v>24</v>
      </c>
      <c r="B80" s="17" t="str">
        <f t="shared" si="79"/>
        <v>Fixed Cost Adjustment Revenue</v>
      </c>
      <c r="C80" s="42" t="str">
        <f t="shared" si="79"/>
        <v>(22) x (23)</v>
      </c>
      <c r="D80" s="93">
        <f t="shared" ref="D80:O80" si="80">D78*D79</f>
        <v>18283.656642583668</v>
      </c>
      <c r="E80" s="93">
        <f t="shared" si="80"/>
        <v>18800.892546896532</v>
      </c>
      <c r="F80" s="93">
        <f t="shared" si="80"/>
        <v>18225.206315115778</v>
      </c>
      <c r="G80" s="93">
        <f t="shared" si="80"/>
        <v>17434.457446519613</v>
      </c>
      <c r="H80" s="109">
        <f t="shared" si="80"/>
        <v>17712.93848361382</v>
      </c>
      <c r="I80" s="109">
        <f t="shared" si="80"/>
        <v>16200.667666748599</v>
      </c>
      <c r="J80" s="93">
        <f t="shared" si="80"/>
        <v>0</v>
      </c>
      <c r="K80" s="93">
        <f t="shared" si="80"/>
        <v>0</v>
      </c>
      <c r="L80" s="93">
        <f t="shared" si="80"/>
        <v>0</v>
      </c>
      <c r="M80" s="93">
        <f t="shared" si="80"/>
        <v>0</v>
      </c>
      <c r="N80" s="93">
        <f t="shared" si="80"/>
        <v>0</v>
      </c>
      <c r="O80" s="93">
        <f t="shared" si="80"/>
        <v>0</v>
      </c>
      <c r="P80" s="71">
        <f>SUM(D80:F80)</f>
        <v>55309.755504595974</v>
      </c>
      <c r="Q80" s="71">
        <f>SUM(G80:I80)</f>
        <v>51348.063596882028</v>
      </c>
      <c r="R80" s="71">
        <f>SUM(J80:L80)</f>
        <v>0</v>
      </c>
      <c r="S80" s="71">
        <f>SUM(M80:O80)</f>
        <v>0</v>
      </c>
      <c r="T80" s="76">
        <f>SUM(D80:O80)</f>
        <v>106657.81910147802</v>
      </c>
    </row>
    <row r="81" spans="1:20" ht="6" customHeight="1">
      <c r="A81" s="42">
        <v>25</v>
      </c>
      <c r="B81" s="17"/>
      <c r="C81" s="42"/>
      <c r="D81" s="94"/>
      <c r="E81" s="94"/>
      <c r="F81" s="94"/>
      <c r="G81" s="94"/>
      <c r="H81" s="176"/>
      <c r="I81" s="176"/>
      <c r="J81" s="94"/>
      <c r="K81" s="94"/>
      <c r="L81" s="94"/>
      <c r="M81" s="94"/>
      <c r="N81" s="94"/>
      <c r="O81" s="94"/>
      <c r="P81" s="71"/>
      <c r="Q81" s="71"/>
      <c r="R81" s="71"/>
      <c r="S81" s="71"/>
      <c r="T81" s="76"/>
    </row>
    <row r="82" spans="1:20">
      <c r="A82" s="42">
        <v>26</v>
      </c>
      <c r="B82" s="17" t="str">
        <f t="shared" ref="B82:B89" si="81">B36</f>
        <v>Actual Base Rate Revenue</v>
      </c>
      <c r="C82" s="42" t="str">
        <f t="shared" si="79"/>
        <v>Revenue Reports</v>
      </c>
      <c r="D82" s="88">
        <v>83127.41</v>
      </c>
      <c r="E82" s="88">
        <v>86494.5</v>
      </c>
      <c r="F82" s="88">
        <v>82990.600000000006</v>
      </c>
      <c r="G82" s="111">
        <v>72086.09</v>
      </c>
      <c r="H82" s="184">
        <v>63943.13</v>
      </c>
      <c r="I82" s="184">
        <v>59485.45</v>
      </c>
      <c r="J82" s="111"/>
      <c r="K82" s="111"/>
      <c r="L82" s="111"/>
      <c r="M82" s="111"/>
      <c r="N82" s="111"/>
      <c r="O82" s="111"/>
      <c r="P82" s="71">
        <f t="shared" ref="P82:P84" si="82">SUM(D82:F82)</f>
        <v>252612.51</v>
      </c>
      <c r="Q82" s="71">
        <f t="shared" ref="Q82:Q84" si="83">SUM(G82:I82)</f>
        <v>195514.66999999998</v>
      </c>
      <c r="R82" s="71">
        <f t="shared" ref="R82:R84" si="84">SUM(J82:L82)</f>
        <v>0</v>
      </c>
      <c r="S82" s="71">
        <f t="shared" ref="S82:S84" si="85">SUM(M82:O82)</f>
        <v>0</v>
      </c>
      <c r="T82" s="76">
        <f t="shared" ref="T82:T84" si="86">SUM(D82:O82)</f>
        <v>448127.18</v>
      </c>
    </row>
    <row r="83" spans="1:20">
      <c r="A83" s="42">
        <v>27</v>
      </c>
      <c r="B83" s="17" t="str">
        <f t="shared" si="81"/>
        <v>Actual Fixed Charge Revenue</v>
      </c>
      <c r="C83" s="42" t="str">
        <f t="shared" si="79"/>
        <v>Revenue Reports</v>
      </c>
      <c r="D83" s="88">
        <v>7650</v>
      </c>
      <c r="E83" s="88">
        <v>7650</v>
      </c>
      <c r="F83" s="88">
        <v>8075</v>
      </c>
      <c r="G83" s="111">
        <v>7225</v>
      </c>
      <c r="H83" s="184">
        <v>7225</v>
      </c>
      <c r="I83" s="184">
        <v>7225</v>
      </c>
      <c r="J83" s="111"/>
      <c r="K83" s="111"/>
      <c r="L83" s="111"/>
      <c r="M83" s="111"/>
      <c r="N83" s="111"/>
      <c r="O83" s="111"/>
      <c r="P83" s="71">
        <f t="shared" si="82"/>
        <v>23375</v>
      </c>
      <c r="Q83" s="71">
        <f t="shared" si="83"/>
        <v>21675</v>
      </c>
      <c r="R83" s="71">
        <f t="shared" si="84"/>
        <v>0</v>
      </c>
      <c r="S83" s="71">
        <f t="shared" si="85"/>
        <v>0</v>
      </c>
      <c r="T83" s="76">
        <f t="shared" si="86"/>
        <v>45050</v>
      </c>
    </row>
    <row r="84" spans="1:20">
      <c r="A84" s="42">
        <v>28</v>
      </c>
      <c r="B84" s="17" t="str">
        <f t="shared" si="81"/>
        <v>Actual Usage (kWhs)</v>
      </c>
      <c r="C84" s="42" t="str">
        <f t="shared" si="79"/>
        <v>Revenue Reports</v>
      </c>
      <c r="D84" s="87">
        <v>1064120</v>
      </c>
      <c r="E84" s="87">
        <v>1074113</v>
      </c>
      <c r="F84" s="87">
        <v>1022523</v>
      </c>
      <c r="G84" s="110">
        <v>872720</v>
      </c>
      <c r="H84" s="183">
        <v>743720</v>
      </c>
      <c r="I84" s="183">
        <v>712440</v>
      </c>
      <c r="J84" s="110"/>
      <c r="K84" s="110"/>
      <c r="L84" s="110"/>
      <c r="M84" s="110"/>
      <c r="N84" s="110"/>
      <c r="O84" s="110"/>
      <c r="P84" s="158">
        <f t="shared" si="82"/>
        <v>3160756</v>
      </c>
      <c r="Q84" s="158">
        <f t="shared" si="83"/>
        <v>2328880</v>
      </c>
      <c r="R84" s="158">
        <f t="shared" si="84"/>
        <v>0</v>
      </c>
      <c r="S84" s="158">
        <f t="shared" si="85"/>
        <v>0</v>
      </c>
      <c r="T84" s="159">
        <f t="shared" si="86"/>
        <v>5489636</v>
      </c>
    </row>
    <row r="85" spans="1:20">
      <c r="A85" s="42">
        <v>29</v>
      </c>
      <c r="B85" s="17" t="str">
        <f t="shared" si="81"/>
        <v>Load Change Adjustment Rate ($/kWh)</v>
      </c>
      <c r="C85" s="42" t="str">
        <f t="shared" si="79"/>
        <v>Page 1</v>
      </c>
      <c r="D85" s="95">
        <f>D24</f>
        <v>2.4989999999999998E-2</v>
      </c>
      <c r="E85" s="95">
        <f t="shared" ref="E85:O85" si="87">E24</f>
        <v>2.4989999999999998E-2</v>
      </c>
      <c r="F85" s="95">
        <f t="shared" si="87"/>
        <v>2.4989999999999998E-2</v>
      </c>
      <c r="G85" s="95">
        <f t="shared" si="87"/>
        <v>2.4989999999999998E-2</v>
      </c>
      <c r="H85" s="177">
        <f t="shared" si="87"/>
        <v>2.4989999999999998E-2</v>
      </c>
      <c r="I85" s="177">
        <f t="shared" si="87"/>
        <v>2.4989999999999998E-2</v>
      </c>
      <c r="J85" s="95">
        <f t="shared" si="87"/>
        <v>2.4989999999999998E-2</v>
      </c>
      <c r="K85" s="95">
        <f t="shared" si="87"/>
        <v>2.4989999999999998E-2</v>
      </c>
      <c r="L85" s="95">
        <f t="shared" si="87"/>
        <v>2.4989999999999998E-2</v>
      </c>
      <c r="M85" s="95">
        <f t="shared" si="87"/>
        <v>2.4989999999999998E-2</v>
      </c>
      <c r="N85" s="95">
        <f t="shared" si="87"/>
        <v>2.4989999999999998E-2</v>
      </c>
      <c r="O85" s="95">
        <f t="shared" si="87"/>
        <v>2.4989999999999998E-2</v>
      </c>
    </row>
    <row r="86" spans="1:20">
      <c r="A86" s="42">
        <v>30</v>
      </c>
      <c r="B86" s="17" t="str">
        <f t="shared" si="81"/>
        <v>Variable Power Supply Revenue</v>
      </c>
      <c r="C86" s="42" t="str">
        <f t="shared" si="79"/>
        <v>(28) x (29)</v>
      </c>
      <c r="D86" s="93">
        <f t="shared" ref="D86:O86" si="88">D84*D85</f>
        <v>26592.358799999998</v>
      </c>
      <c r="E86" s="93">
        <f t="shared" si="88"/>
        <v>26842.083869999999</v>
      </c>
      <c r="F86" s="93">
        <f t="shared" si="88"/>
        <v>25552.849769999997</v>
      </c>
      <c r="G86" s="93">
        <f t="shared" si="88"/>
        <v>21809.272799999999</v>
      </c>
      <c r="H86" s="109">
        <f t="shared" si="88"/>
        <v>18585.5628</v>
      </c>
      <c r="I86" s="109">
        <f t="shared" si="88"/>
        <v>17803.875599999999</v>
      </c>
      <c r="J86" s="93">
        <f t="shared" si="88"/>
        <v>0</v>
      </c>
      <c r="K86" s="93">
        <f t="shared" si="88"/>
        <v>0</v>
      </c>
      <c r="L86" s="93">
        <f t="shared" si="88"/>
        <v>0</v>
      </c>
      <c r="M86" s="93">
        <f t="shared" si="88"/>
        <v>0</v>
      </c>
      <c r="N86" s="93">
        <f t="shared" si="88"/>
        <v>0</v>
      </c>
      <c r="O86" s="93">
        <f t="shared" si="88"/>
        <v>0</v>
      </c>
    </row>
    <row r="87" spans="1:20">
      <c r="A87" s="42">
        <v>31</v>
      </c>
      <c r="B87" s="17" t="str">
        <f t="shared" si="81"/>
        <v>Fixed Production and Transmission Rate per kWh</v>
      </c>
      <c r="C87" s="42" t="s">
        <v>99</v>
      </c>
      <c r="D87" s="125">
        <v>2.6152999999999999E-2</v>
      </c>
      <c r="E87" s="95">
        <f>D87</f>
        <v>2.6152999999999999E-2</v>
      </c>
      <c r="F87" s="95">
        <f t="shared" ref="F87:O87" si="89">E87</f>
        <v>2.6152999999999999E-2</v>
      </c>
      <c r="G87" s="95">
        <f t="shared" si="89"/>
        <v>2.6152999999999999E-2</v>
      </c>
      <c r="H87" s="177">
        <f t="shared" si="89"/>
        <v>2.6152999999999999E-2</v>
      </c>
      <c r="I87" s="177">
        <f t="shared" si="89"/>
        <v>2.6152999999999999E-2</v>
      </c>
      <c r="J87" s="95">
        <f t="shared" si="89"/>
        <v>2.6152999999999999E-2</v>
      </c>
      <c r="K87" s="95">
        <f t="shared" si="89"/>
        <v>2.6152999999999999E-2</v>
      </c>
      <c r="L87" s="95">
        <f t="shared" si="89"/>
        <v>2.6152999999999999E-2</v>
      </c>
      <c r="M87" s="95">
        <f t="shared" si="89"/>
        <v>2.6152999999999999E-2</v>
      </c>
      <c r="N87" s="95">
        <f t="shared" si="89"/>
        <v>2.6152999999999999E-2</v>
      </c>
      <c r="O87" s="95">
        <f t="shared" si="89"/>
        <v>2.6152999999999999E-2</v>
      </c>
    </row>
    <row r="88" spans="1:20">
      <c r="A88" s="42">
        <v>32</v>
      </c>
      <c r="B88" s="17" t="str">
        <f t="shared" si="81"/>
        <v>Fixed Production and Transmission Revenue</v>
      </c>
      <c r="C88" s="42" t="str">
        <f t="shared" si="79"/>
        <v>(30) x (31)</v>
      </c>
      <c r="D88" s="93">
        <f>D84*D87</f>
        <v>27829.930359999998</v>
      </c>
      <c r="E88" s="93">
        <f t="shared" ref="E88:O88" si="90">E84*E87</f>
        <v>28091.277288999998</v>
      </c>
      <c r="F88" s="93">
        <f t="shared" si="90"/>
        <v>26742.044019000001</v>
      </c>
      <c r="G88" s="93">
        <f t="shared" si="90"/>
        <v>22824.246159999999</v>
      </c>
      <c r="H88" s="109">
        <f t="shared" si="90"/>
        <v>19450.509159999998</v>
      </c>
      <c r="I88" s="109">
        <f t="shared" si="90"/>
        <v>18632.443319999998</v>
      </c>
      <c r="J88" s="93">
        <f t="shared" si="90"/>
        <v>0</v>
      </c>
      <c r="K88" s="93">
        <f t="shared" si="90"/>
        <v>0</v>
      </c>
      <c r="L88" s="93">
        <f t="shared" si="90"/>
        <v>0</v>
      </c>
      <c r="M88" s="93">
        <f t="shared" si="90"/>
        <v>0</v>
      </c>
      <c r="N88" s="93">
        <f t="shared" si="90"/>
        <v>0</v>
      </c>
      <c r="O88" s="93">
        <f t="shared" si="90"/>
        <v>0</v>
      </c>
    </row>
    <row r="89" spans="1:20">
      <c r="A89" s="42">
        <v>33</v>
      </c>
      <c r="B89" s="17" t="str">
        <f t="shared" si="81"/>
        <v>Customer Fixed Cost Adjustment Revenue</v>
      </c>
      <c r="C89" s="42" t="str">
        <f t="shared" si="79"/>
        <v>(26) - (27) - (30) - (32)</v>
      </c>
      <c r="D89" s="93">
        <f>D82-D83-D86-D88</f>
        <v>21055.120840000003</v>
      </c>
      <c r="E89" s="93">
        <f t="shared" ref="E89:O89" si="91">E82-E83-E86-E88</f>
        <v>23911.138841</v>
      </c>
      <c r="F89" s="93">
        <f t="shared" si="91"/>
        <v>22620.706211000004</v>
      </c>
      <c r="G89" s="93">
        <f t="shared" si="91"/>
        <v>20227.571039999999</v>
      </c>
      <c r="H89" s="109">
        <f t="shared" si="91"/>
        <v>18682.05804</v>
      </c>
      <c r="I89" s="109">
        <f t="shared" si="91"/>
        <v>15824.131079999999</v>
      </c>
      <c r="J89" s="93">
        <f t="shared" si="91"/>
        <v>0</v>
      </c>
      <c r="K89" s="93">
        <f t="shared" si="91"/>
        <v>0</v>
      </c>
      <c r="L89" s="93">
        <f t="shared" si="91"/>
        <v>0</v>
      </c>
      <c r="M89" s="93">
        <f t="shared" si="91"/>
        <v>0</v>
      </c>
      <c r="N89" s="93">
        <f t="shared" si="91"/>
        <v>0</v>
      </c>
      <c r="O89" s="93">
        <f t="shared" si="91"/>
        <v>0</v>
      </c>
      <c r="P89" s="71">
        <f>SUM(D89:F89)</f>
        <v>67586.965892000007</v>
      </c>
      <c r="Q89" s="71">
        <f>SUM(G89:I89)</f>
        <v>54733.760159999998</v>
      </c>
      <c r="R89" s="71">
        <f>SUM(J89:L89)</f>
        <v>0</v>
      </c>
      <c r="S89" s="71">
        <f>SUM(M89:O89)</f>
        <v>0</v>
      </c>
      <c r="T89" s="76">
        <f>SUM(D89:O89)</f>
        <v>122320.72605200001</v>
      </c>
    </row>
    <row r="90" spans="1:20">
      <c r="A90" s="42">
        <v>34</v>
      </c>
      <c r="B90" s="3" t="s">
        <v>27</v>
      </c>
      <c r="C90" s="42"/>
      <c r="D90" s="96">
        <f>D89/D78</f>
        <v>1169.7289355555558</v>
      </c>
      <c r="E90" s="96">
        <f t="shared" ref="E90:O90" si="92">E89/E78</f>
        <v>1328.3966022777777</v>
      </c>
      <c r="F90" s="96">
        <f t="shared" si="92"/>
        <v>1190.5634847894739</v>
      </c>
      <c r="G90" s="96">
        <f t="shared" si="92"/>
        <v>1189.8571199999999</v>
      </c>
      <c r="H90" s="178">
        <f t="shared" si="92"/>
        <v>1098.9445905882353</v>
      </c>
      <c r="I90" s="178">
        <f t="shared" si="92"/>
        <v>930.83123999999998</v>
      </c>
      <c r="J90" s="96" t="e">
        <f t="shared" si="92"/>
        <v>#DIV/0!</v>
      </c>
      <c r="K90" s="96" t="e">
        <f t="shared" si="92"/>
        <v>#DIV/0!</v>
      </c>
      <c r="L90" s="96" t="e">
        <f t="shared" si="92"/>
        <v>#DIV/0!</v>
      </c>
      <c r="M90" s="96" t="e">
        <f t="shared" si="92"/>
        <v>#DIV/0!</v>
      </c>
      <c r="N90" s="96" t="e">
        <f t="shared" si="92"/>
        <v>#DIV/0!</v>
      </c>
      <c r="O90" s="96" t="e">
        <f t="shared" si="92"/>
        <v>#DIV/0!</v>
      </c>
      <c r="P90" s="78">
        <f>P89/P78</f>
        <v>1228.853925309091</v>
      </c>
      <c r="Q90" s="78">
        <f t="shared" ref="Q90:T90" si="93">Q89/Q78</f>
        <v>1073.2109835294118</v>
      </c>
      <c r="R90" s="78" t="e">
        <f t="shared" si="93"/>
        <v>#DIV/0!</v>
      </c>
      <c r="S90" s="78" t="e">
        <f t="shared" si="93"/>
        <v>#DIV/0!</v>
      </c>
      <c r="T90" s="78">
        <f t="shared" si="93"/>
        <v>1153.9691136981132</v>
      </c>
    </row>
    <row r="91" spans="1:20">
      <c r="A91" s="42">
        <v>35</v>
      </c>
      <c r="B91" s="17" t="str">
        <f t="shared" ref="B91" si="94">B45</f>
        <v>New Customer Deferral - Surcharge (Rebate)</v>
      </c>
      <c r="C91" s="42" t="str">
        <f t="shared" si="79"/>
        <v>(9) - (33)</v>
      </c>
      <c r="D91" s="93">
        <f t="shared" ref="D91:O91" si="95">D80-D89</f>
        <v>-2771.4641974163351</v>
      </c>
      <c r="E91" s="93">
        <f t="shared" si="95"/>
        <v>-5110.2462941034682</v>
      </c>
      <c r="F91" s="93">
        <f t="shared" si="95"/>
        <v>-4395.4998958842261</v>
      </c>
      <c r="G91" s="93">
        <f t="shared" si="95"/>
        <v>-2793.113593480386</v>
      </c>
      <c r="H91" s="109">
        <f t="shared" si="95"/>
        <v>-969.11955638618019</v>
      </c>
      <c r="I91" s="109">
        <f t="shared" si="95"/>
        <v>376.5365867485998</v>
      </c>
      <c r="J91" s="93">
        <f t="shared" si="95"/>
        <v>0</v>
      </c>
      <c r="K91" s="93">
        <f t="shared" si="95"/>
        <v>0</v>
      </c>
      <c r="L91" s="93">
        <f t="shared" si="95"/>
        <v>0</v>
      </c>
      <c r="M91" s="93">
        <f t="shared" si="95"/>
        <v>0</v>
      </c>
      <c r="N91" s="93">
        <f t="shared" si="95"/>
        <v>0</v>
      </c>
      <c r="O91" s="93">
        <f t="shared" si="95"/>
        <v>0</v>
      </c>
      <c r="P91" s="71">
        <f>SUM(D91:F91)</f>
        <v>-12277.210387404029</v>
      </c>
      <c r="Q91" s="71">
        <f>SUM(G91:I91)</f>
        <v>-3385.6965631179664</v>
      </c>
      <c r="R91" s="71">
        <f>SUM(J91:L91)</f>
        <v>0</v>
      </c>
      <c r="S91" s="71">
        <f>SUM(M91:O91)</f>
        <v>0</v>
      </c>
      <c r="T91" s="76">
        <f>SUM(D91:O91)</f>
        <v>-15662.906950521996</v>
      </c>
    </row>
    <row r="92" spans="1:20" ht="6" customHeight="1">
      <c r="A92" s="42">
        <v>36</v>
      </c>
      <c r="B92" s="17"/>
      <c r="C92" s="42"/>
      <c r="D92" s="93"/>
      <c r="E92" s="93"/>
      <c r="F92" s="93"/>
      <c r="G92" s="93"/>
      <c r="H92" s="109"/>
      <c r="I92" s="109"/>
      <c r="J92" s="93"/>
      <c r="K92" s="93"/>
      <c r="L92" s="93"/>
      <c r="M92" s="93"/>
      <c r="N92" s="93"/>
      <c r="O92" s="93"/>
    </row>
    <row r="93" spans="1:20">
      <c r="A93" s="98">
        <v>37</v>
      </c>
      <c r="B93" s="99" t="s">
        <v>109</v>
      </c>
      <c r="C93" s="98" t="str">
        <f t="shared" ref="C93:C96" si="96">C47</f>
        <v>(18) + (35)</v>
      </c>
      <c r="D93" s="100">
        <f>D74+D91</f>
        <v>-68319.747729037437</v>
      </c>
      <c r="E93" s="100">
        <f>E74+E91</f>
        <v>-100031.8607345935</v>
      </c>
      <c r="F93" s="100">
        <f t="shared" ref="F93:O93" si="97">F74+F91</f>
        <v>-159087.86065826568</v>
      </c>
      <c r="G93" s="100">
        <f t="shared" si="97"/>
        <v>-158842.12975881092</v>
      </c>
      <c r="H93" s="180">
        <f t="shared" si="97"/>
        <v>-23248.21187520555</v>
      </c>
      <c r="I93" s="180">
        <f t="shared" si="97"/>
        <v>-254520.8785712205</v>
      </c>
      <c r="J93" s="100">
        <f t="shared" si="97"/>
        <v>0</v>
      </c>
      <c r="K93" s="100">
        <f t="shared" si="97"/>
        <v>0</v>
      </c>
      <c r="L93" s="100">
        <f t="shared" si="97"/>
        <v>0</v>
      </c>
      <c r="M93" s="100">
        <f t="shared" si="97"/>
        <v>0</v>
      </c>
      <c r="N93" s="100">
        <f t="shared" si="97"/>
        <v>0</v>
      </c>
      <c r="O93" s="100">
        <f t="shared" si="97"/>
        <v>0</v>
      </c>
      <c r="P93" s="100">
        <f t="shared" ref="P93:P94" si="98">SUM(D93:F93)</f>
        <v>-327439.46912189666</v>
      </c>
      <c r="Q93" s="100">
        <f t="shared" ref="Q93:Q94" si="99">SUM(G93:I93)</f>
        <v>-436611.22020523692</v>
      </c>
      <c r="R93" s="100">
        <f t="shared" ref="R93:R94" si="100">SUM(J93:L93)</f>
        <v>0</v>
      </c>
      <c r="S93" s="100">
        <f t="shared" ref="S93:S94" si="101">SUM(M93:O93)</f>
        <v>0</v>
      </c>
      <c r="T93" s="100">
        <f t="shared" ref="T93:T94" si="102">SUM(D93:O93)</f>
        <v>-764050.68932713359</v>
      </c>
    </row>
    <row r="94" spans="1:20">
      <c r="A94" s="98">
        <v>38</v>
      </c>
      <c r="B94" s="99" t="str">
        <f t="shared" ref="B94" si="103">B48</f>
        <v>Deferral - Revenue Related Expenses</v>
      </c>
      <c r="C94" s="98" t="str">
        <f t="shared" si="96"/>
        <v>Rev Conv Factor</v>
      </c>
      <c r="D94" s="100">
        <f>D93*-0.005838</f>
        <v>398.85068724212056</v>
      </c>
      <c r="E94" s="100">
        <f t="shared" ref="E94:O94" si="104">E93*-0.005838</f>
        <v>583.98600296855693</v>
      </c>
      <c r="F94" s="100">
        <f t="shared" si="104"/>
        <v>928.75493052295508</v>
      </c>
      <c r="G94" s="100">
        <f t="shared" si="104"/>
        <v>927.32035353193817</v>
      </c>
      <c r="H94" s="180">
        <f t="shared" si="104"/>
        <v>135.72306092745001</v>
      </c>
      <c r="I94" s="180">
        <f t="shared" si="104"/>
        <v>1485.8928890987854</v>
      </c>
      <c r="J94" s="100">
        <f t="shared" si="104"/>
        <v>0</v>
      </c>
      <c r="K94" s="100">
        <f t="shared" si="104"/>
        <v>0</v>
      </c>
      <c r="L94" s="100">
        <f t="shared" si="104"/>
        <v>0</v>
      </c>
      <c r="M94" s="100">
        <f t="shared" si="104"/>
        <v>0</v>
      </c>
      <c r="N94" s="100">
        <f t="shared" si="104"/>
        <v>0</v>
      </c>
      <c r="O94" s="100">
        <f t="shared" si="104"/>
        <v>0</v>
      </c>
      <c r="P94" s="100">
        <f t="shared" si="98"/>
        <v>1911.5916207336327</v>
      </c>
      <c r="Q94" s="100">
        <f t="shared" si="99"/>
        <v>2548.9363035581737</v>
      </c>
      <c r="R94" s="100">
        <f t="shared" si="100"/>
        <v>0</v>
      </c>
      <c r="S94" s="100">
        <f t="shared" si="101"/>
        <v>0</v>
      </c>
      <c r="T94" s="100">
        <f t="shared" si="102"/>
        <v>4460.5279242918059</v>
      </c>
    </row>
    <row r="95" spans="1:20">
      <c r="A95" s="42">
        <v>39</v>
      </c>
      <c r="B95" s="17"/>
      <c r="C95" s="42" t="str">
        <f t="shared" si="96"/>
        <v>Customer Deposit Rate</v>
      </c>
      <c r="D95" s="103">
        <f>D49</f>
        <v>0.02</v>
      </c>
      <c r="E95" s="103">
        <f t="shared" ref="E95:O95" si="105">E49</f>
        <v>0.02</v>
      </c>
      <c r="F95" s="103">
        <f t="shared" si="105"/>
        <v>0.02</v>
      </c>
      <c r="G95" s="103">
        <f t="shared" si="105"/>
        <v>0.02</v>
      </c>
      <c r="H95" s="103">
        <f t="shared" si="105"/>
        <v>0.02</v>
      </c>
      <c r="I95" s="103">
        <f t="shared" si="105"/>
        <v>0.02</v>
      </c>
      <c r="J95" s="103">
        <f t="shared" si="105"/>
        <v>0</v>
      </c>
      <c r="K95" s="103">
        <f t="shared" si="105"/>
        <v>0</v>
      </c>
      <c r="L95" s="103">
        <f t="shared" si="105"/>
        <v>0</v>
      </c>
      <c r="M95" s="103">
        <f t="shared" si="105"/>
        <v>0</v>
      </c>
      <c r="N95" s="103">
        <f t="shared" si="105"/>
        <v>0</v>
      </c>
      <c r="O95" s="103">
        <f t="shared" si="105"/>
        <v>0</v>
      </c>
    </row>
    <row r="96" spans="1:20">
      <c r="A96" s="98">
        <v>40</v>
      </c>
      <c r="B96" s="99" t="str">
        <f>B50</f>
        <v>Interest on Deferral</v>
      </c>
      <c r="C96" s="98" t="str">
        <f t="shared" si="96"/>
        <v>Avg Balance Calc</v>
      </c>
      <c r="D96" s="104">
        <f>(D93+D94)/2*D95/12</f>
        <v>-56.600747534829424</v>
      </c>
      <c r="E96" s="104">
        <f>(D99+(E93+E94)/2)*E95/12</f>
        <v>-196.16905859190436</v>
      </c>
      <c r="F96" s="104">
        <f t="shared" ref="F96:O96" si="106">(E99+(F93+F94)/2)*F95/12</f>
        <v>-411.16849073903057</v>
      </c>
      <c r="G96" s="104">
        <f t="shared" si="106"/>
        <v>-675.24870083444705</v>
      </c>
      <c r="H96" s="182">
        <f t="shared" si="106"/>
        <v>-827.23019718546868</v>
      </c>
      <c r="I96" s="182">
        <f>(H99+(I93+I94)/2)*I95/12</f>
        <v>-1058.7318095944445</v>
      </c>
      <c r="J96" s="104">
        <f t="shared" si="106"/>
        <v>0</v>
      </c>
      <c r="K96" s="104">
        <f t="shared" si="106"/>
        <v>0</v>
      </c>
      <c r="L96" s="104">
        <f t="shared" si="106"/>
        <v>0</v>
      </c>
      <c r="M96" s="104">
        <f t="shared" si="106"/>
        <v>0</v>
      </c>
      <c r="N96" s="104">
        <f t="shared" si="106"/>
        <v>0</v>
      </c>
      <c r="O96" s="104">
        <f t="shared" si="106"/>
        <v>0</v>
      </c>
      <c r="P96" s="104">
        <f>SUM(D96:F96)</f>
        <v>-663.93829686576441</v>
      </c>
      <c r="Q96" s="104">
        <f>SUM(G96:I96)</f>
        <v>-2561.2107076143602</v>
      </c>
      <c r="R96" s="104">
        <f>SUM(J96:L96)</f>
        <v>0</v>
      </c>
      <c r="S96" s="104">
        <f>SUM(M96:O96)</f>
        <v>0</v>
      </c>
      <c r="T96" s="104">
        <f>SUM(D96:O96)</f>
        <v>-3225.1490044801249</v>
      </c>
    </row>
    <row r="97" spans="1:20">
      <c r="A97" s="105">
        <v>41</v>
      </c>
      <c r="B97" s="106" t="s">
        <v>110</v>
      </c>
      <c r="C97" s="105"/>
      <c r="D97" s="108">
        <f>D93+D94+D96</f>
        <v>-67977.49778933014</v>
      </c>
      <c r="E97" s="108">
        <f>E93+E94+E96</f>
        <v>-99644.043790216849</v>
      </c>
      <c r="F97" s="108">
        <f t="shared" ref="F97:O97" si="107">F93+F94+F96</f>
        <v>-158570.27421848176</v>
      </c>
      <c r="G97" s="108">
        <f t="shared" si="107"/>
        <v>-158590.05810611343</v>
      </c>
      <c r="H97" s="193">
        <f t="shared" si="107"/>
        <v>-23939.71901146357</v>
      </c>
      <c r="I97" s="193">
        <f>I93+I94+I96</f>
        <v>-254093.71749171615</v>
      </c>
      <c r="J97" s="108">
        <f t="shared" si="107"/>
        <v>0</v>
      </c>
      <c r="K97" s="108">
        <f t="shared" si="107"/>
        <v>0</v>
      </c>
      <c r="L97" s="108">
        <f t="shared" si="107"/>
        <v>0</v>
      </c>
      <c r="M97" s="108">
        <f t="shared" si="107"/>
        <v>0</v>
      </c>
      <c r="N97" s="108">
        <f t="shared" si="107"/>
        <v>0</v>
      </c>
      <c r="O97" s="108">
        <f t="shared" si="107"/>
        <v>0</v>
      </c>
      <c r="P97" s="108">
        <f>P93+P94+P96</f>
        <v>-326191.81579802884</v>
      </c>
      <c r="Q97" s="108">
        <f t="shared" ref="Q97:T97" si="108">Q93+Q94+Q96</f>
        <v>-436623.49460929312</v>
      </c>
      <c r="R97" s="108">
        <f t="shared" si="108"/>
        <v>0</v>
      </c>
      <c r="S97" s="108">
        <f t="shared" si="108"/>
        <v>0</v>
      </c>
      <c r="T97" s="108">
        <f t="shared" si="108"/>
        <v>-762815.3104073219</v>
      </c>
    </row>
    <row r="98" spans="1:20" ht="6" customHeight="1">
      <c r="A98" s="42">
        <v>42</v>
      </c>
      <c r="B98" s="17"/>
      <c r="C98" s="42"/>
      <c r="D98" s="94"/>
      <c r="E98" s="94"/>
      <c r="F98" s="94"/>
      <c r="G98" s="94"/>
      <c r="H98" s="176"/>
      <c r="I98" s="176"/>
      <c r="J98" s="94"/>
      <c r="K98" s="94"/>
      <c r="L98" s="94"/>
      <c r="M98" s="94"/>
      <c r="N98" s="94"/>
      <c r="O98" s="94"/>
    </row>
    <row r="99" spans="1:20" ht="16.899999999999999" customHeight="1">
      <c r="A99" s="90">
        <v>43</v>
      </c>
      <c r="B99" s="83" t="s">
        <v>111</v>
      </c>
      <c r="C99" s="90" t="str">
        <f t="shared" ref="C99" si="109">C53</f>
        <v>Σ((37), (38), (40))</v>
      </c>
      <c r="D99" s="114">
        <f>D93+D94+D96</f>
        <v>-67977.49778933014</v>
      </c>
      <c r="E99" s="114">
        <f>D99+E93+E94+E96</f>
        <v>-167621.54157954699</v>
      </c>
      <c r="F99" s="114">
        <f t="shared" ref="F99:N99" si="110">E99+F93+F94+F96</f>
        <v>-326191.81579802872</v>
      </c>
      <c r="G99" s="114">
        <f t="shared" si="110"/>
        <v>-484781.87390414218</v>
      </c>
      <c r="H99" s="187">
        <f t="shared" si="110"/>
        <v>-508721.59291560575</v>
      </c>
      <c r="I99" s="187">
        <f t="shared" si="110"/>
        <v>-762815.3104073219</v>
      </c>
      <c r="J99" s="114">
        <f t="shared" si="110"/>
        <v>-762815.3104073219</v>
      </c>
      <c r="K99" s="114">
        <f t="shared" si="110"/>
        <v>-762815.3104073219</v>
      </c>
      <c r="L99" s="114">
        <f t="shared" si="110"/>
        <v>-762815.3104073219</v>
      </c>
      <c r="M99" s="114">
        <f t="shared" si="110"/>
        <v>-762815.3104073219</v>
      </c>
      <c r="N99" s="114">
        <f t="shared" si="110"/>
        <v>-762815.3104073219</v>
      </c>
      <c r="O99" s="114">
        <f>N99+O93+O94+O96</f>
        <v>-762815.3104073219</v>
      </c>
    </row>
    <row r="100" spans="1:20" hidden="1">
      <c r="A100" s="42"/>
      <c r="B100" s="17"/>
      <c r="C100" s="90"/>
      <c r="D100" s="114"/>
      <c r="E100" s="114"/>
      <c r="F100" s="114"/>
      <c r="G100" s="114"/>
      <c r="H100" s="187"/>
      <c r="I100" s="187"/>
      <c r="J100" s="114"/>
      <c r="K100" s="114"/>
      <c r="L100" s="114"/>
      <c r="M100" s="114"/>
      <c r="N100" s="114"/>
      <c r="O100" s="114"/>
    </row>
    <row r="101" spans="1:20">
      <c r="A101" s="42"/>
      <c r="B101" s="1" t="s">
        <v>105</v>
      </c>
      <c r="C101" s="42"/>
      <c r="D101" s="93"/>
      <c r="E101" s="93"/>
      <c r="F101" s="93"/>
      <c r="G101" s="93"/>
      <c r="H101" s="109"/>
      <c r="I101" s="109"/>
      <c r="J101" s="93"/>
      <c r="K101" s="93"/>
      <c r="L101" s="93"/>
      <c r="M101" s="93"/>
      <c r="N101" s="93"/>
      <c r="O101" s="93"/>
    </row>
    <row r="102" spans="1:20" ht="6" customHeight="1">
      <c r="A102" s="42"/>
      <c r="B102" s="1"/>
      <c r="C102" s="42"/>
      <c r="D102" s="93"/>
      <c r="E102" s="93"/>
      <c r="F102" s="93"/>
      <c r="G102" s="93"/>
      <c r="H102" s="109"/>
      <c r="I102" s="109"/>
      <c r="J102" s="93"/>
      <c r="K102" s="93"/>
      <c r="L102" s="93"/>
      <c r="M102" s="93"/>
      <c r="N102" s="93"/>
      <c r="O102" s="93"/>
    </row>
    <row r="103" spans="1:20">
      <c r="A103" s="42">
        <v>1</v>
      </c>
      <c r="B103" s="17" t="s">
        <v>74</v>
      </c>
      <c r="C103" s="42" t="s">
        <v>75</v>
      </c>
      <c r="D103" s="148">
        <v>1449</v>
      </c>
      <c r="E103" s="148">
        <v>1411</v>
      </c>
      <c r="F103" s="148">
        <v>1437</v>
      </c>
      <c r="G103" s="110">
        <v>1430</v>
      </c>
      <c r="H103" s="183">
        <v>1453</v>
      </c>
      <c r="I103" s="183">
        <v>1432</v>
      </c>
      <c r="J103" s="110"/>
      <c r="K103" s="110"/>
      <c r="L103" s="110"/>
      <c r="M103" s="110"/>
      <c r="N103" s="110"/>
      <c r="O103" s="110"/>
      <c r="P103" s="74">
        <f t="shared" ref="P103:P106" si="111">SUM(D103:F103)</f>
        <v>4297</v>
      </c>
      <c r="Q103" s="74">
        <f t="shared" ref="Q103:Q106" si="112">SUM(G103:I103)</f>
        <v>4315</v>
      </c>
      <c r="R103" s="74">
        <f t="shared" ref="R103:R106" si="113">SUM(J103:L103)</f>
        <v>0</v>
      </c>
      <c r="S103" s="74">
        <f t="shared" ref="S103:S106" si="114">SUM(M103:O103)</f>
        <v>0</v>
      </c>
      <c r="T103" s="75">
        <f t="shared" ref="T103:T106" si="115">SUM(D103:O103)</f>
        <v>8612</v>
      </c>
    </row>
    <row r="104" spans="1:20">
      <c r="A104" s="42">
        <v>2</v>
      </c>
      <c r="B104" s="17" t="s">
        <v>76</v>
      </c>
      <c r="C104" s="42" t="s">
        <v>75</v>
      </c>
      <c r="D104" s="148">
        <v>3373500.0000100001</v>
      </c>
      <c r="E104" s="148">
        <v>3774280.77</v>
      </c>
      <c r="F104" s="148">
        <v>3039192.9499999997</v>
      </c>
      <c r="G104" s="110">
        <v>3724858.66</v>
      </c>
      <c r="H104" s="183">
        <v>4759243.57</v>
      </c>
      <c r="I104" s="183">
        <v>7201914.79</v>
      </c>
      <c r="J104" s="110"/>
      <c r="K104" s="110"/>
      <c r="L104" s="110"/>
      <c r="M104" s="110"/>
      <c r="N104" s="110"/>
      <c r="O104" s="110"/>
      <c r="P104" s="74">
        <f t="shared" si="111"/>
        <v>10186973.720009999</v>
      </c>
      <c r="Q104" s="74">
        <f t="shared" si="112"/>
        <v>15686017.02</v>
      </c>
      <c r="R104" s="74">
        <f t="shared" si="113"/>
        <v>0</v>
      </c>
      <c r="S104" s="74">
        <f t="shared" si="114"/>
        <v>0</v>
      </c>
      <c r="T104" s="75">
        <f t="shared" si="115"/>
        <v>25872990.740010001</v>
      </c>
    </row>
    <row r="105" spans="1:20">
      <c r="A105" s="42">
        <v>3</v>
      </c>
      <c r="B105" s="17" t="s">
        <v>77</v>
      </c>
      <c r="C105" s="42" t="s">
        <v>75</v>
      </c>
      <c r="D105" s="149">
        <v>317523.56948999997</v>
      </c>
      <c r="E105" s="149">
        <v>351907.48379999999</v>
      </c>
      <c r="F105" s="149">
        <v>295055.35914999997</v>
      </c>
      <c r="G105" s="111">
        <v>353231.30747</v>
      </c>
      <c r="H105" s="184">
        <v>449937.89711000002</v>
      </c>
      <c r="I105" s="184">
        <v>656585.32730999996</v>
      </c>
      <c r="J105" s="111"/>
      <c r="K105" s="111"/>
      <c r="L105" s="111"/>
      <c r="M105" s="111"/>
      <c r="N105" s="111"/>
      <c r="O105" s="111"/>
      <c r="P105" s="161">
        <f t="shared" si="111"/>
        <v>964486.41243999987</v>
      </c>
      <c r="Q105" s="161">
        <f t="shared" si="112"/>
        <v>1459754.53189</v>
      </c>
      <c r="R105" s="161">
        <f t="shared" si="113"/>
        <v>0</v>
      </c>
      <c r="S105" s="161">
        <f t="shared" si="114"/>
        <v>0</v>
      </c>
      <c r="T105" s="162">
        <f t="shared" si="115"/>
        <v>2424240.9443299999</v>
      </c>
    </row>
    <row r="106" spans="1:20">
      <c r="A106" s="42">
        <v>4</v>
      </c>
      <c r="B106" s="17" t="s">
        <v>78</v>
      </c>
      <c r="C106" s="42" t="s">
        <v>75</v>
      </c>
      <c r="D106" s="149">
        <v>15899.03</v>
      </c>
      <c r="E106" s="149">
        <v>15477.02</v>
      </c>
      <c r="F106" s="149">
        <v>15796.720000000001</v>
      </c>
      <c r="G106" s="111">
        <v>15740.64</v>
      </c>
      <c r="H106" s="184">
        <v>16000.970000000001</v>
      </c>
      <c r="I106" s="184">
        <v>15765.21</v>
      </c>
      <c r="J106" s="111"/>
      <c r="K106" s="111"/>
      <c r="L106" s="111"/>
      <c r="M106" s="111"/>
      <c r="N106" s="111"/>
      <c r="O106" s="111"/>
      <c r="P106" s="161">
        <f t="shared" si="111"/>
        <v>47172.770000000004</v>
      </c>
      <c r="Q106" s="161">
        <f t="shared" si="112"/>
        <v>47506.82</v>
      </c>
      <c r="R106" s="161">
        <f t="shared" si="113"/>
        <v>0</v>
      </c>
      <c r="S106" s="161">
        <f t="shared" si="114"/>
        <v>0</v>
      </c>
      <c r="T106" s="162">
        <f t="shared" si="115"/>
        <v>94679.59</v>
      </c>
    </row>
    <row r="107" spans="1:20" ht="6" customHeight="1">
      <c r="A107" s="42">
        <v>5</v>
      </c>
      <c r="B107" s="17"/>
      <c r="C107" s="42"/>
      <c r="D107" s="93"/>
      <c r="E107" s="93"/>
      <c r="F107" s="93"/>
      <c r="G107" s="93"/>
      <c r="H107" s="109"/>
      <c r="I107" s="109"/>
      <c r="J107" s="93"/>
      <c r="K107" s="93"/>
      <c r="L107" s="93"/>
      <c r="M107" s="93"/>
      <c r="N107" s="93"/>
      <c r="O107" s="93"/>
      <c r="P107" s="74"/>
      <c r="Q107" s="74"/>
      <c r="R107" s="74"/>
      <c r="S107" s="74"/>
      <c r="T107" s="75"/>
    </row>
    <row r="108" spans="1:20">
      <c r="A108" s="42">
        <v>6</v>
      </c>
      <c r="B108" s="86" t="str">
        <f t="shared" ref="B108" si="116">B62</f>
        <v>Existing Customers</v>
      </c>
      <c r="C108" s="42"/>
      <c r="D108" s="93"/>
      <c r="E108" s="93"/>
      <c r="F108" s="93"/>
      <c r="G108" s="93"/>
      <c r="H108" s="109"/>
      <c r="I108" s="109"/>
      <c r="J108" s="93"/>
      <c r="K108" s="93"/>
      <c r="L108" s="93"/>
      <c r="M108" s="93"/>
      <c r="N108" s="93"/>
      <c r="O108" s="93"/>
      <c r="P108" s="74"/>
      <c r="Q108" s="74"/>
      <c r="R108" s="74"/>
      <c r="S108" s="74"/>
      <c r="T108" s="75"/>
    </row>
    <row r="109" spans="1:20">
      <c r="A109" s="42">
        <v>7</v>
      </c>
      <c r="B109" s="17" t="str">
        <f>B63</f>
        <v>Actual Customers on System During Test Year</v>
      </c>
      <c r="C109" s="42" t="str">
        <f>C63</f>
        <v>(1) - (22)</v>
      </c>
      <c r="D109" s="89">
        <f>D103-D124</f>
        <v>1423</v>
      </c>
      <c r="E109" s="89">
        <f t="shared" ref="E109:O109" si="117">E103-E124</f>
        <v>1383</v>
      </c>
      <c r="F109" s="89">
        <f t="shared" si="117"/>
        <v>1408</v>
      </c>
      <c r="G109" s="89">
        <f t="shared" si="117"/>
        <v>1400</v>
      </c>
      <c r="H109" s="174">
        <f t="shared" si="117"/>
        <v>1423</v>
      </c>
      <c r="I109" s="174">
        <f t="shared" si="117"/>
        <v>1401</v>
      </c>
      <c r="J109" s="89">
        <f t="shared" si="117"/>
        <v>0</v>
      </c>
      <c r="K109" s="89">
        <f t="shared" si="117"/>
        <v>0</v>
      </c>
      <c r="L109" s="89">
        <f t="shared" si="117"/>
        <v>0</v>
      </c>
      <c r="M109" s="89">
        <f t="shared" si="117"/>
        <v>0</v>
      </c>
      <c r="N109" s="89">
        <f t="shared" si="117"/>
        <v>0</v>
      </c>
      <c r="O109" s="89">
        <f t="shared" si="117"/>
        <v>0</v>
      </c>
      <c r="P109" s="74">
        <f>SUM(D109:F109)</f>
        <v>4214</v>
      </c>
      <c r="Q109" s="74">
        <f>SUM(G109:I109)</f>
        <v>4224</v>
      </c>
      <c r="R109" s="74">
        <f>SUM(J109:L109)</f>
        <v>0</v>
      </c>
      <c r="S109" s="74">
        <f>SUM(M109:O109)</f>
        <v>0</v>
      </c>
      <c r="T109" s="75">
        <f>SUM(D109:O109)</f>
        <v>8438</v>
      </c>
    </row>
    <row r="110" spans="1:20">
      <c r="A110" s="90">
        <v>8</v>
      </c>
      <c r="B110" s="17" t="str">
        <f t="shared" ref="B110:C110" si="118">B64</f>
        <v>Monthly Fixed Cost Adj. Revenue per Customer</v>
      </c>
      <c r="C110" s="42" t="str">
        <f t="shared" si="118"/>
        <v>Page 3</v>
      </c>
      <c r="D110" s="123">
        <v>164.72798423753324</v>
      </c>
      <c r="E110" s="123">
        <v>132.87361797005858</v>
      </c>
      <c r="F110" s="123">
        <v>215.37348137720281</v>
      </c>
      <c r="G110" s="123">
        <v>154.64989718925204</v>
      </c>
      <c r="H110" s="185">
        <v>223.23396232342373</v>
      </c>
      <c r="I110" s="185">
        <v>310.43190879324334</v>
      </c>
      <c r="J110" s="123">
        <v>403.38362658472948</v>
      </c>
      <c r="K110" s="123">
        <v>390.83485843134639</v>
      </c>
      <c r="L110" s="123">
        <v>308.44090116022028</v>
      </c>
      <c r="M110" s="123">
        <v>219.77842808433735</v>
      </c>
      <c r="N110" s="123">
        <v>115.85673832422809</v>
      </c>
      <c r="O110" s="123">
        <v>150.9545955244246</v>
      </c>
      <c r="P110" s="70">
        <f>P111/P109</f>
        <v>171.19553796907982</v>
      </c>
      <c r="Q110" s="70">
        <f>Q111/Q109</f>
        <v>229.42397932540689</v>
      </c>
      <c r="R110" s="70" t="e">
        <f>R111/R109</f>
        <v>#DIV/0!</v>
      </c>
      <c r="S110" s="70" t="e">
        <f>S111/S109</f>
        <v>#DIV/0!</v>
      </c>
      <c r="T110" s="70">
        <f>T111/T109</f>
        <v>200.3442623456057</v>
      </c>
    </row>
    <row r="111" spans="1:20">
      <c r="A111" s="42">
        <v>9</v>
      </c>
      <c r="B111" s="17" t="str">
        <f t="shared" ref="B111:C111" si="119">B65</f>
        <v>Fixed Cost Adjustment Revenue</v>
      </c>
      <c r="C111" s="42" t="str">
        <f t="shared" si="119"/>
        <v>(7) x (8)</v>
      </c>
      <c r="D111" s="93">
        <f t="shared" ref="D111:O111" si="120">D109*D110</f>
        <v>234407.92157000978</v>
      </c>
      <c r="E111" s="93">
        <f t="shared" si="120"/>
        <v>183764.21365259102</v>
      </c>
      <c r="F111" s="93">
        <f t="shared" si="120"/>
        <v>303245.86177910154</v>
      </c>
      <c r="G111" s="93">
        <f t="shared" si="120"/>
        <v>216509.85606495285</v>
      </c>
      <c r="H111" s="109">
        <f t="shared" si="120"/>
        <v>317661.92838623194</v>
      </c>
      <c r="I111" s="109">
        <f t="shared" si="120"/>
        <v>434915.10421933391</v>
      </c>
      <c r="J111" s="93">
        <f t="shared" si="120"/>
        <v>0</v>
      </c>
      <c r="K111" s="93">
        <f t="shared" si="120"/>
        <v>0</v>
      </c>
      <c r="L111" s="93">
        <f t="shared" si="120"/>
        <v>0</v>
      </c>
      <c r="M111" s="93">
        <f t="shared" si="120"/>
        <v>0</v>
      </c>
      <c r="N111" s="93">
        <f t="shared" si="120"/>
        <v>0</v>
      </c>
      <c r="O111" s="93">
        <f t="shared" si="120"/>
        <v>0</v>
      </c>
      <c r="P111" s="71">
        <f>SUM(D111:F111)</f>
        <v>721417.99700170232</v>
      </c>
      <c r="Q111" s="71">
        <f>SUM(G111:I111)</f>
        <v>969086.88867051876</v>
      </c>
      <c r="R111" s="71">
        <f>SUM(J111:L111)</f>
        <v>0</v>
      </c>
      <c r="S111" s="71">
        <f>SUM(M111:O111)</f>
        <v>0</v>
      </c>
      <c r="T111" s="76">
        <f>SUM(D111:O111)</f>
        <v>1690504.885672221</v>
      </c>
    </row>
    <row r="112" spans="1:20" ht="6" customHeight="1">
      <c r="A112" s="42">
        <v>10</v>
      </c>
      <c r="B112" s="17"/>
      <c r="C112" s="42"/>
      <c r="D112" s="94"/>
      <c r="E112" s="94"/>
      <c r="F112" s="94"/>
      <c r="G112" s="94"/>
      <c r="H112" s="176"/>
      <c r="I112" s="176"/>
      <c r="J112" s="94"/>
      <c r="K112" s="94"/>
      <c r="L112" s="94"/>
      <c r="M112" s="94"/>
      <c r="N112" s="94"/>
      <c r="O112" s="94"/>
    </row>
    <row r="113" spans="1:20">
      <c r="A113" s="42">
        <v>11</v>
      </c>
      <c r="B113" s="17" t="str">
        <f t="shared" ref="B113:C113" si="121">B67</f>
        <v>Actual Base Rate Revenue</v>
      </c>
      <c r="C113" s="42" t="str">
        <f t="shared" si="121"/>
        <v>(3) - (26)</v>
      </c>
      <c r="D113" s="93">
        <f>D105-D128</f>
        <v>308350.98948999995</v>
      </c>
      <c r="E113" s="93">
        <f t="shared" ref="E113:O113" si="122">E105-E128</f>
        <v>342032.98379999999</v>
      </c>
      <c r="F113" s="93">
        <f t="shared" si="122"/>
        <v>284833.89914999995</v>
      </c>
      <c r="G113" s="93">
        <f t="shared" si="122"/>
        <v>343646.65746999998</v>
      </c>
      <c r="H113" s="109">
        <f t="shared" si="122"/>
        <v>437359.27711000002</v>
      </c>
      <c r="I113" s="109">
        <f t="shared" si="122"/>
        <v>642459.59730999998</v>
      </c>
      <c r="J113" s="93">
        <f t="shared" si="122"/>
        <v>0</v>
      </c>
      <c r="K113" s="93">
        <f t="shared" si="122"/>
        <v>0</v>
      </c>
      <c r="L113" s="93">
        <f t="shared" si="122"/>
        <v>0</v>
      </c>
      <c r="M113" s="93">
        <f t="shared" si="122"/>
        <v>0</v>
      </c>
      <c r="N113" s="93">
        <f t="shared" si="122"/>
        <v>0</v>
      </c>
      <c r="O113" s="93">
        <f t="shared" si="122"/>
        <v>0</v>
      </c>
      <c r="P113" s="93">
        <f t="shared" ref="P113:T113" si="123">P105-P128</f>
        <v>935217.87243999983</v>
      </c>
      <c r="Q113" s="93">
        <f t="shared" si="123"/>
        <v>1423465.53189</v>
      </c>
      <c r="R113" s="93">
        <f t="shared" si="123"/>
        <v>0</v>
      </c>
      <c r="S113" s="93">
        <f t="shared" si="123"/>
        <v>0</v>
      </c>
      <c r="T113" s="93">
        <f t="shared" si="123"/>
        <v>2358683.4043299998</v>
      </c>
    </row>
    <row r="114" spans="1:20">
      <c r="A114" s="42">
        <v>12</v>
      </c>
      <c r="B114" s="17" t="str">
        <f t="shared" ref="B114:C114" si="124">B68</f>
        <v>Actual Fixed Charge Revenue</v>
      </c>
      <c r="C114" s="42" t="str">
        <f t="shared" si="124"/>
        <v>(4) - (27)</v>
      </c>
      <c r="D114" s="93">
        <f>D106-D129</f>
        <v>15613.76</v>
      </c>
      <c r="E114" s="93">
        <f t="shared" ref="E114:O114" si="125">E106-E129</f>
        <v>15159.12</v>
      </c>
      <c r="F114" s="93">
        <f t="shared" si="125"/>
        <v>15451.320000000002</v>
      </c>
      <c r="G114" s="93">
        <f t="shared" si="125"/>
        <v>15421.64</v>
      </c>
      <c r="H114" s="109">
        <f t="shared" si="125"/>
        <v>15668.970000000001</v>
      </c>
      <c r="I114" s="109">
        <f t="shared" si="125"/>
        <v>15427.14</v>
      </c>
      <c r="J114" s="93">
        <f t="shared" si="125"/>
        <v>0</v>
      </c>
      <c r="K114" s="93">
        <f t="shared" si="125"/>
        <v>0</v>
      </c>
      <c r="L114" s="93">
        <f t="shared" si="125"/>
        <v>0</v>
      </c>
      <c r="M114" s="93">
        <f t="shared" si="125"/>
        <v>0</v>
      </c>
      <c r="N114" s="93">
        <f t="shared" si="125"/>
        <v>0</v>
      </c>
      <c r="O114" s="93">
        <f t="shared" si="125"/>
        <v>0</v>
      </c>
      <c r="P114" s="93">
        <f t="shared" ref="P114:T114" si="126">P106-P129</f>
        <v>46224.200000000004</v>
      </c>
      <c r="Q114" s="93">
        <f t="shared" si="126"/>
        <v>46517.75</v>
      </c>
      <c r="R114" s="93">
        <f t="shared" si="126"/>
        <v>0</v>
      </c>
      <c r="S114" s="93">
        <f t="shared" si="126"/>
        <v>0</v>
      </c>
      <c r="T114" s="93">
        <f t="shared" si="126"/>
        <v>92741.95</v>
      </c>
    </row>
    <row r="115" spans="1:20">
      <c r="A115" s="42">
        <v>13</v>
      </c>
      <c r="B115" s="17" t="str">
        <f t="shared" ref="B115:C115" si="127">B69</f>
        <v>Actual Usage (kWhs)</v>
      </c>
      <c r="C115" s="42" t="str">
        <f t="shared" si="127"/>
        <v>(2) - (28)</v>
      </c>
      <c r="D115" s="89">
        <f>D104-D130</f>
        <v>3273268.0000100001</v>
      </c>
      <c r="E115" s="89">
        <f t="shared" ref="E115:O115" si="128">E104-E130</f>
        <v>3667890.77</v>
      </c>
      <c r="F115" s="89">
        <f t="shared" si="128"/>
        <v>2929288.9499999997</v>
      </c>
      <c r="G115" s="89">
        <f t="shared" si="128"/>
        <v>3622232.66</v>
      </c>
      <c r="H115" s="174">
        <f t="shared" si="128"/>
        <v>4624067.57</v>
      </c>
      <c r="I115" s="174">
        <f t="shared" si="128"/>
        <v>7048029.79</v>
      </c>
      <c r="J115" s="89">
        <f t="shared" si="128"/>
        <v>0</v>
      </c>
      <c r="K115" s="89">
        <f t="shared" si="128"/>
        <v>0</v>
      </c>
      <c r="L115" s="89">
        <f t="shared" si="128"/>
        <v>0</v>
      </c>
      <c r="M115" s="89">
        <f t="shared" si="128"/>
        <v>0</v>
      </c>
      <c r="N115" s="89">
        <f t="shared" si="128"/>
        <v>0</v>
      </c>
      <c r="O115" s="89">
        <f t="shared" si="128"/>
        <v>0</v>
      </c>
      <c r="P115" s="89">
        <f t="shared" ref="P115:T115" si="129">P104-P130</f>
        <v>9870447.7200099993</v>
      </c>
      <c r="Q115" s="89">
        <f t="shared" si="129"/>
        <v>15294330.02</v>
      </c>
      <c r="R115" s="89">
        <f t="shared" si="129"/>
        <v>0</v>
      </c>
      <c r="S115" s="89">
        <f t="shared" si="129"/>
        <v>0</v>
      </c>
      <c r="T115" s="89">
        <f t="shared" si="129"/>
        <v>25164777.740010001</v>
      </c>
    </row>
    <row r="116" spans="1:20">
      <c r="A116" s="42">
        <v>14</v>
      </c>
      <c r="B116" s="17" t="str">
        <f t="shared" ref="B116:C116" si="130">B70</f>
        <v>Load Change Adjustment Rate ($/kWh)</v>
      </c>
      <c r="C116" s="42" t="str">
        <f t="shared" si="130"/>
        <v>Page 1</v>
      </c>
      <c r="D116" s="95">
        <f>D70</f>
        <v>2.4989999999999998E-2</v>
      </c>
      <c r="E116" s="95">
        <f t="shared" ref="E116:O116" si="131">E70</f>
        <v>2.4989999999999998E-2</v>
      </c>
      <c r="F116" s="95">
        <f t="shared" si="131"/>
        <v>2.4989999999999998E-2</v>
      </c>
      <c r="G116" s="95">
        <f t="shared" si="131"/>
        <v>2.4989999999999998E-2</v>
      </c>
      <c r="H116" s="177">
        <f t="shared" si="131"/>
        <v>2.4989999999999998E-2</v>
      </c>
      <c r="I116" s="177">
        <f t="shared" si="131"/>
        <v>2.4989999999999998E-2</v>
      </c>
      <c r="J116" s="95">
        <f t="shared" si="131"/>
        <v>2.4989999999999998E-2</v>
      </c>
      <c r="K116" s="95">
        <f t="shared" si="131"/>
        <v>2.4989999999999998E-2</v>
      </c>
      <c r="L116" s="95">
        <f t="shared" si="131"/>
        <v>2.4989999999999998E-2</v>
      </c>
      <c r="M116" s="95">
        <f t="shared" si="131"/>
        <v>2.4989999999999998E-2</v>
      </c>
      <c r="N116" s="95">
        <f t="shared" si="131"/>
        <v>2.4989999999999998E-2</v>
      </c>
      <c r="O116" s="95">
        <f t="shared" si="131"/>
        <v>2.4989999999999998E-2</v>
      </c>
      <c r="P116" s="95">
        <f t="shared" ref="P116:T116" si="132">P70</f>
        <v>2.4989999999999998E-2</v>
      </c>
      <c r="Q116" s="95">
        <f t="shared" si="132"/>
        <v>2.4989999999999998E-2</v>
      </c>
      <c r="R116" s="95">
        <f t="shared" si="132"/>
        <v>2.4989999999999998E-2</v>
      </c>
      <c r="S116" s="95">
        <f t="shared" si="132"/>
        <v>2.4989999999999998E-2</v>
      </c>
      <c r="T116" s="95">
        <f t="shared" si="132"/>
        <v>2.4989999999999998E-2</v>
      </c>
    </row>
    <row r="117" spans="1:20">
      <c r="A117" s="42">
        <v>15</v>
      </c>
      <c r="B117" s="17" t="str">
        <f t="shared" ref="B117:C117" si="133">B71</f>
        <v>Variable Power Supply Revenue</v>
      </c>
      <c r="C117" s="42" t="str">
        <f t="shared" si="133"/>
        <v>(13) x (14)</v>
      </c>
      <c r="D117" s="93">
        <f t="shared" ref="D117:O117" si="134">D115*D116</f>
        <v>81798.967320249896</v>
      </c>
      <c r="E117" s="93">
        <f t="shared" si="134"/>
        <v>91660.590342299998</v>
      </c>
      <c r="F117" s="93">
        <f t="shared" si="134"/>
        <v>73202.930860499982</v>
      </c>
      <c r="G117" s="93">
        <f t="shared" si="134"/>
        <v>90519.594173399993</v>
      </c>
      <c r="H117" s="109">
        <f t="shared" si="134"/>
        <v>115555.4485743</v>
      </c>
      <c r="I117" s="109">
        <f t="shared" si="134"/>
        <v>176130.26445209997</v>
      </c>
      <c r="J117" s="93">
        <f t="shared" si="134"/>
        <v>0</v>
      </c>
      <c r="K117" s="93">
        <f t="shared" si="134"/>
        <v>0</v>
      </c>
      <c r="L117" s="93">
        <f t="shared" si="134"/>
        <v>0</v>
      </c>
      <c r="M117" s="93">
        <f t="shared" si="134"/>
        <v>0</v>
      </c>
      <c r="N117" s="93">
        <f t="shared" si="134"/>
        <v>0</v>
      </c>
      <c r="O117" s="93">
        <f t="shared" si="134"/>
        <v>0</v>
      </c>
      <c r="P117" s="93">
        <f t="shared" ref="P117:T117" si="135">P115*P116</f>
        <v>246662.48852304986</v>
      </c>
      <c r="Q117" s="93">
        <f t="shared" si="135"/>
        <v>382205.30719979998</v>
      </c>
      <c r="R117" s="93">
        <f t="shared" si="135"/>
        <v>0</v>
      </c>
      <c r="S117" s="93">
        <f t="shared" si="135"/>
        <v>0</v>
      </c>
      <c r="T117" s="93">
        <f t="shared" si="135"/>
        <v>628867.7957228499</v>
      </c>
    </row>
    <row r="118" spans="1:20">
      <c r="A118" s="42">
        <v>16</v>
      </c>
      <c r="B118" s="17" t="str">
        <f t="shared" ref="B118:C118" si="136">B72</f>
        <v>Customer Fixed Cost Adjustment Revenue</v>
      </c>
      <c r="C118" s="42" t="str">
        <f t="shared" si="136"/>
        <v>(11) - (12) -(15)</v>
      </c>
      <c r="D118" s="93">
        <f>D113-D114-D117</f>
        <v>210938.26216975006</v>
      </c>
      <c r="E118" s="93">
        <f t="shared" ref="E118:O118" si="137">E113-E114-E117</f>
        <v>235213.27345769998</v>
      </c>
      <c r="F118" s="93">
        <f t="shared" si="137"/>
        <v>196179.64828949998</v>
      </c>
      <c r="G118" s="93">
        <f t="shared" si="137"/>
        <v>237705.42329659997</v>
      </c>
      <c r="H118" s="109">
        <f t="shared" si="137"/>
        <v>306134.85853570007</v>
      </c>
      <c r="I118" s="109">
        <f t="shared" si="137"/>
        <v>450902.19285789999</v>
      </c>
      <c r="J118" s="93">
        <f t="shared" si="137"/>
        <v>0</v>
      </c>
      <c r="K118" s="93">
        <f t="shared" si="137"/>
        <v>0</v>
      </c>
      <c r="L118" s="93">
        <f t="shared" si="137"/>
        <v>0</v>
      </c>
      <c r="M118" s="93">
        <f t="shared" si="137"/>
        <v>0</v>
      </c>
      <c r="N118" s="93">
        <f t="shared" si="137"/>
        <v>0</v>
      </c>
      <c r="O118" s="93">
        <f t="shared" si="137"/>
        <v>0</v>
      </c>
      <c r="P118" s="71">
        <f>SUM(D118:F118)</f>
        <v>642331.18391695002</v>
      </c>
      <c r="Q118" s="71">
        <f>SUM(G118:I118)</f>
        <v>994742.47469020006</v>
      </c>
      <c r="R118" s="71">
        <f>SUM(J118:L118)</f>
        <v>0</v>
      </c>
      <c r="S118" s="71">
        <f>SUM(M118:O118)</f>
        <v>0</v>
      </c>
      <c r="T118" s="76">
        <f>SUM(D118:O118)</f>
        <v>1637073.65860715</v>
      </c>
    </row>
    <row r="119" spans="1:20">
      <c r="A119" s="42">
        <v>17</v>
      </c>
      <c r="B119" s="3" t="s">
        <v>27</v>
      </c>
      <c r="C119" s="42"/>
      <c r="D119" s="112">
        <f>D118/D109</f>
        <v>148.23489962737179</v>
      </c>
      <c r="E119" s="112">
        <f t="shared" ref="E119:O119" si="138">E118/E109</f>
        <v>170.07467350520605</v>
      </c>
      <c r="F119" s="112">
        <f t="shared" si="138"/>
        <v>139.33213656924715</v>
      </c>
      <c r="G119" s="112">
        <f t="shared" si="138"/>
        <v>169.78958806899999</v>
      </c>
      <c r="H119" s="186">
        <f t="shared" si="138"/>
        <v>215.13342131813076</v>
      </c>
      <c r="I119" s="186">
        <f t="shared" si="138"/>
        <v>321.84310696495362</v>
      </c>
      <c r="J119" s="112" t="e">
        <f t="shared" si="138"/>
        <v>#DIV/0!</v>
      </c>
      <c r="K119" s="112" t="e">
        <f t="shared" si="138"/>
        <v>#DIV/0!</v>
      </c>
      <c r="L119" s="112" t="e">
        <f t="shared" si="138"/>
        <v>#DIV/0!</v>
      </c>
      <c r="M119" s="112" t="e">
        <f t="shared" si="138"/>
        <v>#DIV/0!</v>
      </c>
      <c r="N119" s="112" t="e">
        <f t="shared" si="138"/>
        <v>#DIV/0!</v>
      </c>
      <c r="O119" s="112" t="e">
        <f t="shared" si="138"/>
        <v>#DIV/0!</v>
      </c>
      <c r="P119" s="78">
        <f>P118/P109</f>
        <v>152.42790316016848</v>
      </c>
      <c r="Q119" s="78">
        <f>Q118/Q109</f>
        <v>235.49774495506631</v>
      </c>
      <c r="R119" s="78" t="e">
        <f>R118/R109</f>
        <v>#DIV/0!</v>
      </c>
      <c r="S119" s="78" t="e">
        <f>S118/S109</f>
        <v>#DIV/0!</v>
      </c>
      <c r="T119" s="78">
        <f>T118/T109</f>
        <v>194.0120477135755</v>
      </c>
    </row>
    <row r="120" spans="1:20">
      <c r="A120" s="42">
        <v>18</v>
      </c>
      <c r="B120" s="17" t="str">
        <f t="shared" ref="B120:C120" si="139">B74</f>
        <v>Existing Customer Deferral - Surcharge (Rebate)</v>
      </c>
      <c r="C120" s="42" t="str">
        <f t="shared" si="139"/>
        <v>(9) - (16)</v>
      </c>
      <c r="D120" s="93">
        <f>D111-D118</f>
        <v>23469.659400259727</v>
      </c>
      <c r="E120" s="93">
        <f t="shared" ref="E120:O120" si="140">E111-E118</f>
        <v>-51449.059805108962</v>
      </c>
      <c r="F120" s="93">
        <f t="shared" si="140"/>
        <v>107066.21348960156</v>
      </c>
      <c r="G120" s="93">
        <f t="shared" si="140"/>
        <v>-21195.567231647117</v>
      </c>
      <c r="H120" s="109">
        <f t="shared" si="140"/>
        <v>11527.069850531872</v>
      </c>
      <c r="I120" s="109">
        <f t="shared" si="140"/>
        <v>-15987.088638566085</v>
      </c>
      <c r="J120" s="93">
        <f t="shared" si="140"/>
        <v>0</v>
      </c>
      <c r="K120" s="93">
        <f t="shared" si="140"/>
        <v>0</v>
      </c>
      <c r="L120" s="93">
        <f t="shared" si="140"/>
        <v>0</v>
      </c>
      <c r="M120" s="93">
        <f t="shared" si="140"/>
        <v>0</v>
      </c>
      <c r="N120" s="93">
        <f t="shared" si="140"/>
        <v>0</v>
      </c>
      <c r="O120" s="93">
        <f t="shared" si="140"/>
        <v>0</v>
      </c>
      <c r="P120" s="71">
        <f>SUM(D120:F120)</f>
        <v>79086.813084752328</v>
      </c>
      <c r="Q120" s="71">
        <f>SUM(G120:I120)</f>
        <v>-25655.58601968133</v>
      </c>
      <c r="R120" s="71">
        <f>SUM(J120:L120)</f>
        <v>0</v>
      </c>
      <c r="S120" s="71">
        <f>SUM(M120:O120)</f>
        <v>0</v>
      </c>
      <c r="T120" s="76">
        <f>SUM(D120:O120)</f>
        <v>53431.227065070998</v>
      </c>
    </row>
    <row r="121" spans="1:20" hidden="1">
      <c r="A121" s="42">
        <v>19</v>
      </c>
      <c r="B121" s="17"/>
      <c r="C121" s="42"/>
      <c r="D121" s="93"/>
      <c r="E121" s="93"/>
      <c r="F121" s="93"/>
      <c r="G121" s="93"/>
      <c r="H121" s="109"/>
      <c r="I121" s="109"/>
      <c r="J121" s="93"/>
      <c r="K121" s="93"/>
      <c r="L121" s="93"/>
      <c r="M121" s="93"/>
      <c r="N121" s="93"/>
      <c r="O121" s="93"/>
      <c r="P121" s="71"/>
      <c r="Q121" s="71"/>
      <c r="R121" s="71"/>
      <c r="S121" s="71"/>
      <c r="T121" s="76"/>
    </row>
    <row r="122" spans="1:20" ht="6" customHeight="1">
      <c r="A122" s="42">
        <v>20</v>
      </c>
      <c r="B122" s="17"/>
      <c r="C122" s="42"/>
      <c r="D122" s="93"/>
      <c r="E122" s="93"/>
      <c r="F122" s="93"/>
      <c r="G122" s="93"/>
      <c r="H122" s="109"/>
      <c r="I122" s="109"/>
      <c r="J122" s="93"/>
      <c r="K122" s="93"/>
      <c r="L122" s="93"/>
      <c r="M122" s="93"/>
      <c r="N122" s="93"/>
      <c r="O122" s="93"/>
    </row>
    <row r="123" spans="1:20">
      <c r="A123" s="42">
        <v>21</v>
      </c>
      <c r="B123" s="86" t="str">
        <f t="shared" ref="B123" si="141">B77</f>
        <v>New Customers</v>
      </c>
      <c r="C123" s="42"/>
      <c r="D123" s="93"/>
      <c r="E123" s="93"/>
      <c r="F123" s="93"/>
      <c r="G123" s="93"/>
      <c r="H123" s="109"/>
      <c r="I123" s="109"/>
      <c r="J123" s="93"/>
      <c r="K123" s="93"/>
      <c r="L123" s="93"/>
      <c r="M123" s="93"/>
      <c r="N123" s="93"/>
      <c r="O123" s="93"/>
    </row>
    <row r="124" spans="1:20">
      <c r="A124" s="42">
        <v>22</v>
      </c>
      <c r="B124" s="17" t="str">
        <f t="shared" ref="B124:C124" si="142">B78</f>
        <v>Actual Customers New Since Test Year</v>
      </c>
      <c r="C124" s="42" t="str">
        <f t="shared" si="142"/>
        <v>Revenue Reports</v>
      </c>
      <c r="D124" s="87">
        <v>26</v>
      </c>
      <c r="E124" s="87">
        <v>28</v>
      </c>
      <c r="F124" s="87">
        <v>29</v>
      </c>
      <c r="G124" s="110">
        <v>30</v>
      </c>
      <c r="H124" s="183">
        <v>30</v>
      </c>
      <c r="I124" s="183">
        <v>31</v>
      </c>
      <c r="J124" s="110"/>
      <c r="K124" s="110"/>
      <c r="L124" s="110"/>
      <c r="M124" s="110"/>
      <c r="N124" s="110"/>
      <c r="O124" s="110"/>
      <c r="P124" s="74">
        <f>SUM(D124:F124)</f>
        <v>83</v>
      </c>
      <c r="Q124" s="74">
        <f>SUM(G124:I124)</f>
        <v>91</v>
      </c>
      <c r="R124" s="74">
        <f>SUM(J124:L124)</f>
        <v>0</v>
      </c>
      <c r="S124" s="74">
        <f>SUM(M124:O124)</f>
        <v>0</v>
      </c>
      <c r="T124" s="75">
        <f>SUM(D124:O124)</f>
        <v>174</v>
      </c>
    </row>
    <row r="125" spans="1:20">
      <c r="A125" s="42">
        <v>23</v>
      </c>
      <c r="B125" s="17" t="str">
        <f t="shared" ref="B125:C125" si="143">B79</f>
        <v>Monthly Fixed Cost Adj. Revenue per Customer</v>
      </c>
      <c r="C125" s="42" t="str">
        <f t="shared" si="143"/>
        <v>Page 3</v>
      </c>
      <c r="D125" s="123">
        <v>117.58947895431214</v>
      </c>
      <c r="E125" s="123">
        <v>94.850547562965133</v>
      </c>
      <c r="F125" s="123">
        <v>153.74227744572306</v>
      </c>
      <c r="G125" s="123">
        <v>110.3953339500563</v>
      </c>
      <c r="H125" s="185">
        <v>159.3534057738861</v>
      </c>
      <c r="I125" s="185">
        <v>221.59881682976797</v>
      </c>
      <c r="J125" s="123">
        <v>287.95150191603818</v>
      </c>
      <c r="K125" s="123">
        <v>278.9936850915027</v>
      </c>
      <c r="L125" s="123">
        <v>220.17755528003858</v>
      </c>
      <c r="M125" s="123">
        <v>156.88670606549272</v>
      </c>
      <c r="N125" s="123">
        <v>82.703212547342943</v>
      </c>
      <c r="O125" s="123">
        <v>107.75747858287421</v>
      </c>
      <c r="P125" s="70">
        <f>P126/P124</f>
        <v>122.55021482531455</v>
      </c>
      <c r="Q125" s="70">
        <f>Q126/Q124</f>
        <v>164.4178627850668</v>
      </c>
      <c r="R125" s="70" t="e">
        <f>R126/R124</f>
        <v>#DIV/0!</v>
      </c>
      <c r="S125" s="70" t="e">
        <f>S126/S124</f>
        <v>#DIV/0!</v>
      </c>
      <c r="T125" s="70">
        <f>T126/T124</f>
        <v>144.4465134709321</v>
      </c>
    </row>
    <row r="126" spans="1:20">
      <c r="A126" s="42">
        <v>24</v>
      </c>
      <c r="B126" s="17" t="str">
        <f t="shared" ref="B126:C126" si="144">B80</f>
        <v>Fixed Cost Adjustment Revenue</v>
      </c>
      <c r="C126" s="42" t="str">
        <f t="shared" si="144"/>
        <v>(22) x (23)</v>
      </c>
      <c r="D126" s="93">
        <f t="shared" ref="D126:O126" si="145">D124*D125</f>
        <v>3057.3264528121158</v>
      </c>
      <c r="E126" s="93">
        <f t="shared" si="145"/>
        <v>2655.8153317630236</v>
      </c>
      <c r="F126" s="93">
        <f t="shared" si="145"/>
        <v>4458.5260459259689</v>
      </c>
      <c r="G126" s="93">
        <f t="shared" si="145"/>
        <v>3311.860018501689</v>
      </c>
      <c r="H126" s="109">
        <f t="shared" si="145"/>
        <v>4780.6021732165827</v>
      </c>
      <c r="I126" s="109">
        <f t="shared" si="145"/>
        <v>6869.5633217228069</v>
      </c>
      <c r="J126" s="93">
        <f t="shared" si="145"/>
        <v>0</v>
      </c>
      <c r="K126" s="93">
        <f t="shared" si="145"/>
        <v>0</v>
      </c>
      <c r="L126" s="93">
        <f t="shared" si="145"/>
        <v>0</v>
      </c>
      <c r="M126" s="93">
        <f t="shared" si="145"/>
        <v>0</v>
      </c>
      <c r="N126" s="93">
        <f t="shared" si="145"/>
        <v>0</v>
      </c>
      <c r="O126" s="93">
        <f t="shared" si="145"/>
        <v>0</v>
      </c>
      <c r="P126" s="71">
        <f>SUM(D126:F126)</f>
        <v>10171.667830501108</v>
      </c>
      <c r="Q126" s="71">
        <f>SUM(G126:I126)</f>
        <v>14962.02551344108</v>
      </c>
      <c r="R126" s="71">
        <f>SUM(J126:L126)</f>
        <v>0</v>
      </c>
      <c r="S126" s="71">
        <f>SUM(M126:O126)</f>
        <v>0</v>
      </c>
      <c r="T126" s="76">
        <f>SUM(D126:O126)</f>
        <v>25133.693343942188</v>
      </c>
    </row>
    <row r="127" spans="1:20" ht="6" customHeight="1">
      <c r="A127" s="42">
        <v>25</v>
      </c>
      <c r="B127" s="17"/>
      <c r="C127" s="42"/>
      <c r="D127" s="94"/>
      <c r="E127" s="94"/>
      <c r="F127" s="94"/>
      <c r="G127" s="94"/>
      <c r="H127" s="176"/>
      <c r="I127" s="176"/>
      <c r="J127" s="94"/>
      <c r="K127" s="94"/>
      <c r="L127" s="94"/>
      <c r="M127" s="94"/>
      <c r="N127" s="94"/>
      <c r="O127" s="94"/>
      <c r="P127" s="71"/>
      <c r="Q127" s="71"/>
      <c r="R127" s="71"/>
      <c r="S127" s="71"/>
      <c r="T127" s="76"/>
    </row>
    <row r="128" spans="1:20">
      <c r="A128" s="42">
        <v>26</v>
      </c>
      <c r="B128" s="17" t="str">
        <f t="shared" ref="B128:C135" si="146">B82</f>
        <v>Actual Base Rate Revenue</v>
      </c>
      <c r="C128" s="42" t="str">
        <f t="shared" si="146"/>
        <v>Revenue Reports</v>
      </c>
      <c r="D128" s="88">
        <v>9172.58</v>
      </c>
      <c r="E128" s="88">
        <v>9874.5</v>
      </c>
      <c r="F128" s="88">
        <v>10221.459999999999</v>
      </c>
      <c r="G128" s="111">
        <v>9584.6500000000015</v>
      </c>
      <c r="H128" s="184">
        <v>12578.619999999999</v>
      </c>
      <c r="I128" s="184">
        <v>14125.73</v>
      </c>
      <c r="J128" s="111"/>
      <c r="K128" s="111"/>
      <c r="L128" s="111"/>
      <c r="M128" s="111"/>
      <c r="N128" s="111"/>
      <c r="O128" s="111"/>
      <c r="P128" s="71">
        <f t="shared" ref="P128:P130" si="147">SUM(D128:F128)</f>
        <v>29268.54</v>
      </c>
      <c r="Q128" s="71">
        <f t="shared" ref="Q128:Q130" si="148">SUM(G128:I128)</f>
        <v>36289</v>
      </c>
      <c r="R128" s="71">
        <f t="shared" ref="R128:R130" si="149">SUM(J128:L128)</f>
        <v>0</v>
      </c>
      <c r="S128" s="71">
        <f t="shared" ref="S128:S130" si="150">SUM(M128:O128)</f>
        <v>0</v>
      </c>
      <c r="T128" s="76">
        <f t="shared" ref="T128:T130" si="151">SUM(D128:O128)</f>
        <v>65557.539999999994</v>
      </c>
    </row>
    <row r="129" spans="1:20">
      <c r="A129" s="42">
        <v>27</v>
      </c>
      <c r="B129" s="17" t="str">
        <f t="shared" si="146"/>
        <v>Actual Fixed Charge Revenue</v>
      </c>
      <c r="C129" s="42" t="str">
        <f t="shared" si="146"/>
        <v>Revenue Reports</v>
      </c>
      <c r="D129" s="88">
        <v>285.27</v>
      </c>
      <c r="E129" s="88">
        <v>317.89999999999998</v>
      </c>
      <c r="F129" s="88">
        <v>345.4</v>
      </c>
      <c r="G129" s="111">
        <v>319</v>
      </c>
      <c r="H129" s="184">
        <v>332</v>
      </c>
      <c r="I129" s="184">
        <v>338.07</v>
      </c>
      <c r="J129" s="111"/>
      <c r="K129" s="111"/>
      <c r="L129" s="111"/>
      <c r="M129" s="111"/>
      <c r="N129" s="111"/>
      <c r="O129" s="111"/>
      <c r="P129" s="71">
        <f t="shared" si="147"/>
        <v>948.56999999999994</v>
      </c>
      <c r="Q129" s="71">
        <f t="shared" si="148"/>
        <v>989.06999999999994</v>
      </c>
      <c r="R129" s="71">
        <f t="shared" si="149"/>
        <v>0</v>
      </c>
      <c r="S129" s="71">
        <f t="shared" si="150"/>
        <v>0</v>
      </c>
      <c r="T129" s="76">
        <f t="shared" si="151"/>
        <v>1937.6399999999999</v>
      </c>
    </row>
    <row r="130" spans="1:20">
      <c r="A130" s="42">
        <v>28</v>
      </c>
      <c r="B130" s="17" t="str">
        <f t="shared" si="146"/>
        <v>Actual Usage (kWhs)</v>
      </c>
      <c r="C130" s="42" t="str">
        <f t="shared" si="146"/>
        <v>Revenue Reports</v>
      </c>
      <c r="D130" s="87">
        <v>100232</v>
      </c>
      <c r="E130" s="87">
        <v>106390</v>
      </c>
      <c r="F130" s="87">
        <v>109904</v>
      </c>
      <c r="G130" s="110">
        <v>102626</v>
      </c>
      <c r="H130" s="183">
        <v>135176</v>
      </c>
      <c r="I130" s="183">
        <v>153885</v>
      </c>
      <c r="J130" s="110"/>
      <c r="K130" s="110"/>
      <c r="L130" s="110"/>
      <c r="M130" s="110"/>
      <c r="N130" s="110"/>
      <c r="O130" s="110"/>
      <c r="P130" s="158">
        <f t="shared" si="147"/>
        <v>316526</v>
      </c>
      <c r="Q130" s="158">
        <f t="shared" si="148"/>
        <v>391687</v>
      </c>
      <c r="R130" s="158">
        <f t="shared" si="149"/>
        <v>0</v>
      </c>
      <c r="S130" s="158">
        <f t="shared" si="150"/>
        <v>0</v>
      </c>
      <c r="T130" s="159">
        <f t="shared" si="151"/>
        <v>708213</v>
      </c>
    </row>
    <row r="131" spans="1:20">
      <c r="A131" s="42">
        <v>29</v>
      </c>
      <c r="B131" s="17" t="str">
        <f t="shared" si="146"/>
        <v>Load Change Adjustment Rate ($/kWh)</v>
      </c>
      <c r="C131" s="42" t="str">
        <f t="shared" si="146"/>
        <v>Page 1</v>
      </c>
      <c r="D131" s="95">
        <f>D70</f>
        <v>2.4989999999999998E-2</v>
      </c>
      <c r="E131" s="95">
        <f t="shared" ref="E131:O131" si="152">E70</f>
        <v>2.4989999999999998E-2</v>
      </c>
      <c r="F131" s="95">
        <f t="shared" si="152"/>
        <v>2.4989999999999998E-2</v>
      </c>
      <c r="G131" s="95">
        <f t="shared" si="152"/>
        <v>2.4989999999999998E-2</v>
      </c>
      <c r="H131" s="177">
        <f t="shared" si="152"/>
        <v>2.4989999999999998E-2</v>
      </c>
      <c r="I131" s="177">
        <f t="shared" si="152"/>
        <v>2.4989999999999998E-2</v>
      </c>
      <c r="J131" s="95">
        <f t="shared" si="152"/>
        <v>2.4989999999999998E-2</v>
      </c>
      <c r="K131" s="95">
        <f t="shared" si="152"/>
        <v>2.4989999999999998E-2</v>
      </c>
      <c r="L131" s="95">
        <f t="shared" si="152"/>
        <v>2.4989999999999998E-2</v>
      </c>
      <c r="M131" s="95">
        <f t="shared" si="152"/>
        <v>2.4989999999999998E-2</v>
      </c>
      <c r="N131" s="95">
        <f t="shared" si="152"/>
        <v>2.4989999999999998E-2</v>
      </c>
      <c r="O131" s="95">
        <f t="shared" si="152"/>
        <v>2.4989999999999998E-2</v>
      </c>
    </row>
    <row r="132" spans="1:20">
      <c r="A132" s="42">
        <v>30</v>
      </c>
      <c r="B132" s="17" t="str">
        <f t="shared" si="146"/>
        <v>Variable Power Supply Revenue</v>
      </c>
      <c r="C132" s="42" t="str">
        <f t="shared" si="146"/>
        <v>(28) x (29)</v>
      </c>
      <c r="D132" s="93">
        <f t="shared" ref="D132:O132" si="153">D130*D131</f>
        <v>2504.7976799999997</v>
      </c>
      <c r="E132" s="93">
        <f t="shared" si="153"/>
        <v>2658.6860999999999</v>
      </c>
      <c r="F132" s="93">
        <f t="shared" si="153"/>
        <v>2746.5009599999998</v>
      </c>
      <c r="G132" s="93">
        <f t="shared" si="153"/>
        <v>2564.62374</v>
      </c>
      <c r="H132" s="109">
        <f t="shared" si="153"/>
        <v>3378.0482399999996</v>
      </c>
      <c r="I132" s="109">
        <f t="shared" si="153"/>
        <v>3845.5861499999996</v>
      </c>
      <c r="J132" s="93">
        <f t="shared" si="153"/>
        <v>0</v>
      </c>
      <c r="K132" s="93">
        <f t="shared" si="153"/>
        <v>0</v>
      </c>
      <c r="L132" s="93">
        <f t="shared" si="153"/>
        <v>0</v>
      </c>
      <c r="M132" s="93">
        <f t="shared" si="153"/>
        <v>0</v>
      </c>
      <c r="N132" s="93">
        <f t="shared" si="153"/>
        <v>0</v>
      </c>
      <c r="O132" s="93">
        <f t="shared" si="153"/>
        <v>0</v>
      </c>
    </row>
    <row r="133" spans="1:20">
      <c r="A133" s="42">
        <v>31</v>
      </c>
      <c r="B133" s="17" t="str">
        <f t="shared" si="146"/>
        <v>Fixed Production and Transmission Rate per kWh</v>
      </c>
      <c r="C133" s="42" t="s">
        <v>99</v>
      </c>
      <c r="D133" s="125">
        <v>1.8599000000000001E-2</v>
      </c>
      <c r="E133" s="95">
        <f>D133</f>
        <v>1.8599000000000001E-2</v>
      </c>
      <c r="F133" s="95">
        <f t="shared" ref="F133:O133" si="154">E133</f>
        <v>1.8599000000000001E-2</v>
      </c>
      <c r="G133" s="95">
        <f t="shared" si="154"/>
        <v>1.8599000000000001E-2</v>
      </c>
      <c r="H133" s="177">
        <f t="shared" si="154"/>
        <v>1.8599000000000001E-2</v>
      </c>
      <c r="I133" s="177">
        <f t="shared" si="154"/>
        <v>1.8599000000000001E-2</v>
      </c>
      <c r="J133" s="95">
        <f t="shared" si="154"/>
        <v>1.8599000000000001E-2</v>
      </c>
      <c r="K133" s="95">
        <f t="shared" si="154"/>
        <v>1.8599000000000001E-2</v>
      </c>
      <c r="L133" s="95">
        <f t="shared" si="154"/>
        <v>1.8599000000000001E-2</v>
      </c>
      <c r="M133" s="95">
        <f t="shared" si="154"/>
        <v>1.8599000000000001E-2</v>
      </c>
      <c r="N133" s="95">
        <f t="shared" si="154"/>
        <v>1.8599000000000001E-2</v>
      </c>
      <c r="O133" s="95">
        <f t="shared" si="154"/>
        <v>1.8599000000000001E-2</v>
      </c>
    </row>
    <row r="134" spans="1:20">
      <c r="A134" s="42">
        <v>32</v>
      </c>
      <c r="B134" s="17" t="str">
        <f t="shared" si="146"/>
        <v>Fixed Production and Transmission Revenue</v>
      </c>
      <c r="C134" s="42" t="str">
        <f t="shared" si="146"/>
        <v>(30) x (31)</v>
      </c>
      <c r="D134" s="93">
        <f>D130*D133</f>
        <v>1864.214968</v>
      </c>
      <c r="E134" s="93">
        <f t="shared" ref="E134:O134" si="155">E130*E133</f>
        <v>1978.7476100000001</v>
      </c>
      <c r="F134" s="93">
        <f t="shared" si="155"/>
        <v>2044.1044960000002</v>
      </c>
      <c r="G134" s="93">
        <f t="shared" si="155"/>
        <v>1908.7409740000001</v>
      </c>
      <c r="H134" s="109">
        <f t="shared" si="155"/>
        <v>2514.1384240000002</v>
      </c>
      <c r="I134" s="109">
        <f t="shared" si="155"/>
        <v>2862.1071150000002</v>
      </c>
      <c r="J134" s="93">
        <f t="shared" si="155"/>
        <v>0</v>
      </c>
      <c r="K134" s="93">
        <f t="shared" si="155"/>
        <v>0</v>
      </c>
      <c r="L134" s="93">
        <f t="shared" si="155"/>
        <v>0</v>
      </c>
      <c r="M134" s="93">
        <f t="shared" si="155"/>
        <v>0</v>
      </c>
      <c r="N134" s="93">
        <f t="shared" si="155"/>
        <v>0</v>
      </c>
      <c r="O134" s="93">
        <f t="shared" si="155"/>
        <v>0</v>
      </c>
    </row>
    <row r="135" spans="1:20">
      <c r="A135" s="42">
        <v>33</v>
      </c>
      <c r="B135" s="17" t="str">
        <f t="shared" si="146"/>
        <v>Customer Fixed Cost Adjustment Revenue</v>
      </c>
      <c r="C135" s="42" t="str">
        <f t="shared" si="146"/>
        <v>(26) - (27) - (30) - (32)</v>
      </c>
      <c r="D135" s="93">
        <f>D128-D129-D132-D134</f>
        <v>4518.2973519999996</v>
      </c>
      <c r="E135" s="93">
        <f t="shared" ref="E135:O135" si="156">E128-E129-E132-E134</f>
        <v>4919.1662900000001</v>
      </c>
      <c r="F135" s="93">
        <f t="shared" si="156"/>
        <v>5085.4545440000002</v>
      </c>
      <c r="G135" s="93">
        <f t="shared" si="156"/>
        <v>4792.2852860000012</v>
      </c>
      <c r="H135" s="109">
        <f t="shared" si="156"/>
        <v>6354.4333359999982</v>
      </c>
      <c r="I135" s="109">
        <f t="shared" si="156"/>
        <v>7079.966735</v>
      </c>
      <c r="J135" s="93">
        <f t="shared" si="156"/>
        <v>0</v>
      </c>
      <c r="K135" s="93">
        <f t="shared" si="156"/>
        <v>0</v>
      </c>
      <c r="L135" s="93">
        <f t="shared" si="156"/>
        <v>0</v>
      </c>
      <c r="M135" s="93">
        <f t="shared" si="156"/>
        <v>0</v>
      </c>
      <c r="N135" s="93">
        <f t="shared" si="156"/>
        <v>0</v>
      </c>
      <c r="O135" s="93">
        <f t="shared" si="156"/>
        <v>0</v>
      </c>
      <c r="P135" s="71">
        <f>SUM(D135:F135)</f>
        <v>14522.918185999999</v>
      </c>
      <c r="Q135" s="71">
        <f>SUM(G135:I135)</f>
        <v>18226.685357000002</v>
      </c>
      <c r="R135" s="71">
        <f>SUM(J135:L135)</f>
        <v>0</v>
      </c>
      <c r="S135" s="71">
        <f>SUM(M135:O135)</f>
        <v>0</v>
      </c>
      <c r="T135" s="76">
        <f>SUM(D135:O135)</f>
        <v>32749.603542999997</v>
      </c>
    </row>
    <row r="136" spans="1:20">
      <c r="A136" s="42">
        <v>34</v>
      </c>
      <c r="B136" s="3" t="s">
        <v>27</v>
      </c>
      <c r="C136" s="42"/>
      <c r="D136" s="96">
        <f>D135/D124</f>
        <v>173.78066738461536</v>
      </c>
      <c r="E136" s="96">
        <f t="shared" ref="E136:O136" si="157">E135/E124</f>
        <v>175.68451035714287</v>
      </c>
      <c r="F136" s="96">
        <f t="shared" si="157"/>
        <v>175.36050151724137</v>
      </c>
      <c r="G136" s="96">
        <f t="shared" si="157"/>
        <v>159.74284286666671</v>
      </c>
      <c r="H136" s="178">
        <f t="shared" si="157"/>
        <v>211.81444453333327</v>
      </c>
      <c r="I136" s="178">
        <f t="shared" si="157"/>
        <v>228.38602370967743</v>
      </c>
      <c r="J136" s="96" t="e">
        <f t="shared" si="157"/>
        <v>#DIV/0!</v>
      </c>
      <c r="K136" s="96" t="e">
        <f t="shared" si="157"/>
        <v>#DIV/0!</v>
      </c>
      <c r="L136" s="96" t="e">
        <f t="shared" si="157"/>
        <v>#DIV/0!</v>
      </c>
      <c r="M136" s="96" t="e">
        <f t="shared" si="157"/>
        <v>#DIV/0!</v>
      </c>
      <c r="N136" s="96" t="e">
        <f t="shared" si="157"/>
        <v>#DIV/0!</v>
      </c>
      <c r="O136" s="96" t="e">
        <f t="shared" si="157"/>
        <v>#DIV/0!</v>
      </c>
      <c r="P136" s="78">
        <f>P135/P124</f>
        <v>174.97491790361445</v>
      </c>
      <c r="Q136" s="78">
        <f>Q135/Q124</f>
        <v>200.29324568131869</v>
      </c>
      <c r="R136" s="78" t="e">
        <f>R135/R124</f>
        <v>#DIV/0!</v>
      </c>
      <c r="S136" s="78" t="e">
        <f>S135/S124</f>
        <v>#DIV/0!</v>
      </c>
      <c r="T136" s="78">
        <f>T135/T124</f>
        <v>188.21611231609194</v>
      </c>
    </row>
    <row r="137" spans="1:20">
      <c r="A137" s="42">
        <v>35</v>
      </c>
      <c r="B137" s="17" t="str">
        <f t="shared" ref="B137:C137" si="158">B91</f>
        <v>New Customer Deferral - Surcharge (Rebate)</v>
      </c>
      <c r="C137" s="42" t="str">
        <f t="shared" si="158"/>
        <v>(9) - (33)</v>
      </c>
      <c r="D137" s="93">
        <f t="shared" ref="D137:O137" si="159">D126-D135</f>
        <v>-1460.9708991878838</v>
      </c>
      <c r="E137" s="93">
        <f t="shared" si="159"/>
        <v>-2263.3509582369766</v>
      </c>
      <c r="F137" s="93">
        <f t="shared" si="159"/>
        <v>-626.92849807403127</v>
      </c>
      <c r="G137" s="93">
        <f t="shared" si="159"/>
        <v>-1480.4252674983122</v>
      </c>
      <c r="H137" s="109">
        <f t="shared" si="159"/>
        <v>-1573.8311627834155</v>
      </c>
      <c r="I137" s="109">
        <f t="shared" si="159"/>
        <v>-210.40341327719307</v>
      </c>
      <c r="J137" s="93">
        <f t="shared" si="159"/>
        <v>0</v>
      </c>
      <c r="K137" s="93">
        <f t="shared" si="159"/>
        <v>0</v>
      </c>
      <c r="L137" s="93">
        <f t="shared" si="159"/>
        <v>0</v>
      </c>
      <c r="M137" s="93">
        <f t="shared" si="159"/>
        <v>0</v>
      </c>
      <c r="N137" s="93">
        <f t="shared" si="159"/>
        <v>0</v>
      </c>
      <c r="O137" s="93">
        <f t="shared" si="159"/>
        <v>0</v>
      </c>
      <c r="P137" s="71">
        <f>SUM(D137:F137)</f>
        <v>-4351.2503554988916</v>
      </c>
      <c r="Q137" s="71">
        <f>SUM(G137:I137)</f>
        <v>-3264.6598435589208</v>
      </c>
      <c r="R137" s="71">
        <f>SUM(J137:L137)</f>
        <v>0</v>
      </c>
      <c r="S137" s="71">
        <f>SUM(M137:O137)</f>
        <v>0</v>
      </c>
      <c r="T137" s="76">
        <f>SUM(D137:O137)</f>
        <v>-7615.910199057812</v>
      </c>
    </row>
    <row r="138" spans="1:20" ht="6" customHeight="1">
      <c r="A138" s="42">
        <v>36</v>
      </c>
      <c r="B138" s="17"/>
      <c r="C138" s="42"/>
      <c r="D138" s="93"/>
      <c r="E138" s="93"/>
      <c r="F138" s="93"/>
      <c r="G138" s="93"/>
      <c r="H138" s="109"/>
      <c r="I138" s="109"/>
      <c r="J138" s="93"/>
      <c r="K138" s="93"/>
      <c r="L138" s="93"/>
      <c r="M138" s="93"/>
      <c r="N138" s="93"/>
      <c r="O138" s="93"/>
    </row>
    <row r="139" spans="1:20">
      <c r="A139" s="98">
        <v>37</v>
      </c>
      <c r="B139" s="99" t="s">
        <v>112</v>
      </c>
      <c r="C139" s="98" t="str">
        <f t="shared" ref="C139:C142" si="160">C93</f>
        <v>(18) + (35)</v>
      </c>
      <c r="D139" s="100">
        <f>D120+D137</f>
        <v>22008.688501071843</v>
      </c>
      <c r="E139" s="100">
        <f>E120+E137</f>
        <v>-53712.410763345935</v>
      </c>
      <c r="F139" s="100">
        <f t="shared" ref="F139:O139" si="161">F120+F137</f>
        <v>106439.28499152753</v>
      </c>
      <c r="G139" s="100">
        <f t="shared" si="161"/>
        <v>-22675.992499145428</v>
      </c>
      <c r="H139" s="180">
        <f t="shared" si="161"/>
        <v>9953.2386877484569</v>
      </c>
      <c r="I139" s="180">
        <f t="shared" si="161"/>
        <v>-16197.492051843277</v>
      </c>
      <c r="J139" s="100">
        <f t="shared" si="161"/>
        <v>0</v>
      </c>
      <c r="K139" s="100">
        <f t="shared" si="161"/>
        <v>0</v>
      </c>
      <c r="L139" s="100">
        <f t="shared" si="161"/>
        <v>0</v>
      </c>
      <c r="M139" s="100">
        <f t="shared" si="161"/>
        <v>0</v>
      </c>
      <c r="N139" s="100">
        <f t="shared" si="161"/>
        <v>0</v>
      </c>
      <c r="O139" s="100">
        <f t="shared" si="161"/>
        <v>0</v>
      </c>
      <c r="P139" s="100">
        <f t="shared" ref="P139:P140" si="162">SUM(D139:F139)</f>
        <v>74735.562729253434</v>
      </c>
      <c r="Q139" s="100">
        <f t="shared" ref="Q139:Q140" si="163">SUM(G139:I139)</f>
        <v>-28920.245863240249</v>
      </c>
      <c r="R139" s="100">
        <f t="shared" ref="R139:R140" si="164">SUM(J139:L139)</f>
        <v>0</v>
      </c>
      <c r="S139" s="100">
        <f t="shared" ref="S139:S140" si="165">SUM(M139:O139)</f>
        <v>0</v>
      </c>
      <c r="T139" s="100">
        <f t="shared" ref="T139:T140" si="166">SUM(D139:O139)</f>
        <v>45815.316866013178</v>
      </c>
    </row>
    <row r="140" spans="1:20">
      <c r="A140" s="98">
        <v>38</v>
      </c>
      <c r="B140" s="99" t="str">
        <f t="shared" ref="B140" si="167">B94</f>
        <v>Deferral - Revenue Related Expenses</v>
      </c>
      <c r="C140" s="98" t="str">
        <f t="shared" si="160"/>
        <v>Rev Conv Factor</v>
      </c>
      <c r="D140" s="100">
        <f>D139*-0.005838</f>
        <v>-128.48672346925744</v>
      </c>
      <c r="E140" s="100">
        <f t="shared" ref="E140:O140" si="168">E139*-0.005838</f>
        <v>313.57305403641357</v>
      </c>
      <c r="F140" s="100">
        <f t="shared" si="168"/>
        <v>-621.39254578053772</v>
      </c>
      <c r="G140" s="100">
        <f t="shared" si="168"/>
        <v>132.38244421001102</v>
      </c>
      <c r="H140" s="180">
        <f t="shared" si="168"/>
        <v>-58.107007459075497</v>
      </c>
      <c r="I140" s="180">
        <f t="shared" si="168"/>
        <v>94.56095859866106</v>
      </c>
      <c r="J140" s="100">
        <f t="shared" si="168"/>
        <v>0</v>
      </c>
      <c r="K140" s="100">
        <f t="shared" si="168"/>
        <v>0</v>
      </c>
      <c r="L140" s="100">
        <f t="shared" si="168"/>
        <v>0</v>
      </c>
      <c r="M140" s="100">
        <f t="shared" si="168"/>
        <v>0</v>
      </c>
      <c r="N140" s="100">
        <f t="shared" si="168"/>
        <v>0</v>
      </c>
      <c r="O140" s="100">
        <f t="shared" si="168"/>
        <v>0</v>
      </c>
      <c r="P140" s="100">
        <f t="shared" si="162"/>
        <v>-436.30621521338162</v>
      </c>
      <c r="Q140" s="100">
        <f t="shared" si="163"/>
        <v>168.83639534959656</v>
      </c>
      <c r="R140" s="100">
        <f t="shared" si="164"/>
        <v>0</v>
      </c>
      <c r="S140" s="100">
        <f t="shared" si="165"/>
        <v>0</v>
      </c>
      <c r="T140" s="100">
        <f t="shared" si="166"/>
        <v>-267.46981986378501</v>
      </c>
    </row>
    <row r="141" spans="1:20">
      <c r="A141" s="42">
        <v>39</v>
      </c>
      <c r="B141" s="17"/>
      <c r="C141" s="90" t="str">
        <f t="shared" si="160"/>
        <v>Customer Deposit Rate</v>
      </c>
      <c r="D141" s="103">
        <f>D95</f>
        <v>0.02</v>
      </c>
      <c r="E141" s="103">
        <f t="shared" ref="E141:O141" si="169">E95</f>
        <v>0.02</v>
      </c>
      <c r="F141" s="103">
        <f t="shared" si="169"/>
        <v>0.02</v>
      </c>
      <c r="G141" s="103">
        <f t="shared" si="169"/>
        <v>0.02</v>
      </c>
      <c r="H141" s="103">
        <f t="shared" si="169"/>
        <v>0.02</v>
      </c>
      <c r="I141" s="103">
        <f t="shared" si="169"/>
        <v>0.02</v>
      </c>
      <c r="J141" s="103">
        <f t="shared" si="169"/>
        <v>0</v>
      </c>
      <c r="K141" s="103">
        <f t="shared" si="169"/>
        <v>0</v>
      </c>
      <c r="L141" s="103">
        <f t="shared" si="169"/>
        <v>0</v>
      </c>
      <c r="M141" s="103">
        <f t="shared" si="169"/>
        <v>0</v>
      </c>
      <c r="N141" s="103">
        <f t="shared" si="169"/>
        <v>0</v>
      </c>
      <c r="O141" s="103">
        <f t="shared" si="169"/>
        <v>0</v>
      </c>
    </row>
    <row r="142" spans="1:20">
      <c r="A142" s="98">
        <v>40</v>
      </c>
      <c r="B142" s="99" t="str">
        <f>B96</f>
        <v>Interest on Deferral</v>
      </c>
      <c r="C142" s="98" t="str">
        <f t="shared" si="160"/>
        <v>Avg Balance Calc</v>
      </c>
      <c r="D142" s="104">
        <f>(D139+D140)/2*D141/12</f>
        <v>18.233501481335491</v>
      </c>
      <c r="E142" s="104">
        <f>(D145+(E139+E140)/2)*E141/12</f>
        <v>-8.0016392926180622</v>
      </c>
      <c r="F142" s="104">
        <f t="shared" ref="F142" si="170">(E145+(F139+F140)/2)*F141/12</f>
        <v>35.667570255592132</v>
      </c>
      <c r="G142" s="104">
        <f t="shared" ref="G142" si="171">(F145+(G139+G140)/2)*G141/12</f>
        <v>105.12225153169446</v>
      </c>
      <c r="H142" s="182">
        <f t="shared" ref="H142" si="172">(G145+(H139+H140)/2)*H141/12</f>
        <v>94.757056638708889</v>
      </c>
      <c r="I142" s="182">
        <f t="shared" ref="I142" si="173">(H145+(I139+I140)/2)*I141/12</f>
        <v>89.741818888977377</v>
      </c>
      <c r="J142" s="104">
        <f t="shared" ref="J142" si="174">(I145+(J139+J140)/2)*J141/12</f>
        <v>0</v>
      </c>
      <c r="K142" s="104">
        <f t="shared" ref="K142" si="175">(J145+(K139+K140)/2)*K141/12</f>
        <v>0</v>
      </c>
      <c r="L142" s="104">
        <f t="shared" ref="L142" si="176">(K145+(L139+L140)/2)*L141/12</f>
        <v>0</v>
      </c>
      <c r="M142" s="104">
        <f t="shared" ref="M142" si="177">(L145+(M139+M140)/2)*M141/12</f>
        <v>0</v>
      </c>
      <c r="N142" s="104">
        <f t="shared" ref="N142" si="178">(M145+(N139+N140)/2)*N141/12</f>
        <v>0</v>
      </c>
      <c r="O142" s="104">
        <f t="shared" ref="O142" si="179">(N145+(O139+O140)/2)*O141/12</f>
        <v>0</v>
      </c>
      <c r="P142" s="104">
        <f>SUM(D142:F142)</f>
        <v>45.899432444309561</v>
      </c>
      <c r="Q142" s="104">
        <f>SUM(G142:I142)</f>
        <v>289.62112705938074</v>
      </c>
      <c r="R142" s="104">
        <f>SUM(J142:L142)</f>
        <v>0</v>
      </c>
      <c r="S142" s="104">
        <f>SUM(M142:O142)</f>
        <v>0</v>
      </c>
      <c r="T142" s="104">
        <f>SUM(D142:O142)</f>
        <v>335.52055950369027</v>
      </c>
    </row>
    <row r="143" spans="1:20">
      <c r="A143" s="105">
        <v>41</v>
      </c>
      <c r="B143" s="106" t="s">
        <v>113</v>
      </c>
      <c r="C143" s="105"/>
      <c r="D143" s="108">
        <f>D139+D140+D142</f>
        <v>21898.435279083922</v>
      </c>
      <c r="E143" s="108">
        <f>E139+E140+E142</f>
        <v>-53406.839348602138</v>
      </c>
      <c r="F143" s="108">
        <f t="shared" ref="F143:O143" si="180">F139+F140+F142</f>
        <v>105853.56001600259</v>
      </c>
      <c r="G143" s="108">
        <f t="shared" si="180"/>
        <v>-22438.487803403721</v>
      </c>
      <c r="H143" s="193">
        <f t="shared" si="180"/>
        <v>9989.888736928091</v>
      </c>
      <c r="I143" s="193">
        <f t="shared" si="180"/>
        <v>-16013.18927435564</v>
      </c>
      <c r="J143" s="108">
        <f t="shared" si="180"/>
        <v>0</v>
      </c>
      <c r="K143" s="108">
        <f t="shared" si="180"/>
        <v>0</v>
      </c>
      <c r="L143" s="108">
        <f t="shared" si="180"/>
        <v>0</v>
      </c>
      <c r="M143" s="108">
        <f t="shared" si="180"/>
        <v>0</v>
      </c>
      <c r="N143" s="108">
        <f t="shared" si="180"/>
        <v>0</v>
      </c>
      <c r="O143" s="108">
        <f t="shared" si="180"/>
        <v>0</v>
      </c>
      <c r="P143" s="108">
        <f>P139+P140+P142</f>
        <v>74345.155946484359</v>
      </c>
      <c r="Q143" s="108">
        <f t="shared" ref="Q143:T143" si="181">Q139+Q140+Q142</f>
        <v>-28461.78834083127</v>
      </c>
      <c r="R143" s="108">
        <f t="shared" si="181"/>
        <v>0</v>
      </c>
      <c r="S143" s="108">
        <f t="shared" si="181"/>
        <v>0</v>
      </c>
      <c r="T143" s="108">
        <f t="shared" si="181"/>
        <v>45883.367605653082</v>
      </c>
    </row>
    <row r="144" spans="1:20" ht="6" customHeight="1">
      <c r="A144" s="42">
        <v>42</v>
      </c>
      <c r="B144" s="17"/>
      <c r="C144" s="42"/>
      <c r="D144" s="94"/>
      <c r="E144" s="94"/>
      <c r="F144" s="94"/>
      <c r="G144" s="94"/>
      <c r="H144" s="176"/>
      <c r="I144" s="176"/>
      <c r="J144" s="94"/>
      <c r="K144" s="94"/>
      <c r="L144" s="94"/>
      <c r="M144" s="94"/>
      <c r="N144" s="94"/>
      <c r="O144" s="94"/>
    </row>
    <row r="145" spans="1:16" ht="16.899999999999999" customHeight="1">
      <c r="A145" s="90">
        <v>43</v>
      </c>
      <c r="B145" s="83" t="s">
        <v>114</v>
      </c>
      <c r="C145" s="90" t="str">
        <f t="shared" ref="C145" si="182">C99</f>
        <v>Σ((37), (38), (40))</v>
      </c>
      <c r="D145" s="114">
        <f>D139+D140+D142</f>
        <v>21898.435279083922</v>
      </c>
      <c r="E145" s="114">
        <f>D145+E139+E140+E142</f>
        <v>-31508.404069518219</v>
      </c>
      <c r="F145" s="114">
        <f t="shared" ref="F145" si="183">E145+F139+F140+F142</f>
        <v>74345.155946484374</v>
      </c>
      <c r="G145" s="114">
        <f t="shared" ref="G145" si="184">F145+G139+G140+G142</f>
        <v>51906.668143080642</v>
      </c>
      <c r="H145" s="187">
        <f t="shared" ref="H145" si="185">G145+H139+H140+H142</f>
        <v>61896.556880008735</v>
      </c>
      <c r="I145" s="187">
        <f t="shared" ref="I145" si="186">H145+I139+I140+I142</f>
        <v>45883.367605653097</v>
      </c>
      <c r="J145" s="114">
        <f t="shared" ref="J145" si="187">I145+J139+J140+J142</f>
        <v>45883.367605653097</v>
      </c>
      <c r="K145" s="114">
        <f t="shared" ref="K145" si="188">J145+K139+K140+K142</f>
        <v>45883.367605653097</v>
      </c>
      <c r="L145" s="114">
        <f t="shared" ref="L145" si="189">K145+L139+L140+L142</f>
        <v>45883.367605653097</v>
      </c>
      <c r="M145" s="114">
        <f t="shared" ref="M145" si="190">L145+M139+M140+M142</f>
        <v>45883.367605653097</v>
      </c>
      <c r="N145" s="114">
        <f t="shared" ref="N145" si="191">M145+N139+N140+N142</f>
        <v>45883.367605653097</v>
      </c>
      <c r="O145" s="114">
        <f>N145+O139+O140+O142</f>
        <v>45883.367605653097</v>
      </c>
    </row>
    <row r="146" spans="1:16" ht="6" customHeight="1" thickBot="1">
      <c r="H146" s="188"/>
      <c r="I146" s="188"/>
    </row>
    <row r="147" spans="1:16" ht="28.15" customHeight="1" thickBot="1">
      <c r="A147" s="126">
        <v>44</v>
      </c>
      <c r="B147" s="130" t="s">
        <v>115</v>
      </c>
      <c r="C147" s="127" t="str">
        <f>"Sch 11/12 line ("&amp;A$53&amp;") +Sch 21/22 line ("&amp;A99&amp;") +Sch 31/32 line ("&amp;A145&amp;")"</f>
        <v>Sch 11/12 line (43) +Sch 21/22 line (43) +Sch 31/32 line (43)</v>
      </c>
      <c r="D147" s="129">
        <f>D53+D99+D145</f>
        <v>55922.970848659112</v>
      </c>
      <c r="E147" s="129">
        <f t="shared" ref="E147:N147" si="192">E53+E99+E145</f>
        <v>-262439.6757480196</v>
      </c>
      <c r="F147" s="129">
        <f t="shared" si="192"/>
        <v>-301138.03695456445</v>
      </c>
      <c r="G147" s="129">
        <f t="shared" si="192"/>
        <v>-659532.28326450021</v>
      </c>
      <c r="H147" s="129">
        <f t="shared" si="192"/>
        <v>-672058.38450726657</v>
      </c>
      <c r="I147" s="129">
        <f t="shared" si="192"/>
        <v>-1122985.1306961605</v>
      </c>
      <c r="J147" s="129">
        <f t="shared" si="192"/>
        <v>-1122985.1306961605</v>
      </c>
      <c r="K147" s="129">
        <f t="shared" si="192"/>
        <v>-1122985.1306961605</v>
      </c>
      <c r="L147" s="129">
        <f t="shared" si="192"/>
        <v>-1122985.1306961605</v>
      </c>
      <c r="M147" s="129">
        <f t="shared" si="192"/>
        <v>-1122985.1306961605</v>
      </c>
      <c r="N147" s="129">
        <f t="shared" si="192"/>
        <v>-1122985.1306961605</v>
      </c>
      <c r="O147" s="129">
        <f>O53+O99+O145</f>
        <v>-1122985.1306961605</v>
      </c>
      <c r="P147" s="128"/>
    </row>
    <row r="148" spans="1:16">
      <c r="H148" s="188"/>
      <c r="I148" s="201"/>
    </row>
    <row r="149" spans="1:16">
      <c r="D149" s="131">
        <f>D147-0</f>
        <v>55922.970848659112</v>
      </c>
      <c r="E149" s="131">
        <f>E147-D147</f>
        <v>-318362.64659667871</v>
      </c>
      <c r="F149" s="131">
        <f>F147-E147</f>
        <v>-38698.361206544854</v>
      </c>
      <c r="G149" s="131">
        <f t="shared" ref="G149:L149" si="193">G147-F147</f>
        <v>-358394.24630993576</v>
      </c>
      <c r="H149" s="200">
        <f t="shared" si="193"/>
        <v>-12526.101242766366</v>
      </c>
      <c r="I149" s="200">
        <f t="shared" si="193"/>
        <v>-450926.74618889391</v>
      </c>
      <c r="J149" s="131">
        <f t="shared" si="193"/>
        <v>0</v>
      </c>
      <c r="K149" s="131">
        <f t="shared" si="193"/>
        <v>0</v>
      </c>
      <c r="L149" s="131">
        <f t="shared" si="193"/>
        <v>0</v>
      </c>
      <c r="M149" s="131">
        <f t="shared" ref="M149:O149" si="194">M147-L147</f>
        <v>0</v>
      </c>
      <c r="N149" s="131">
        <f t="shared" si="194"/>
        <v>0</v>
      </c>
      <c r="O149" s="131">
        <f t="shared" si="194"/>
        <v>0</v>
      </c>
    </row>
    <row r="150" spans="1:16">
      <c r="D150" s="131"/>
      <c r="E150" s="131"/>
      <c r="F150" s="131"/>
      <c r="G150" s="131"/>
      <c r="H150" s="131"/>
      <c r="I150" s="131"/>
      <c r="J150" s="131"/>
      <c r="K150" s="131"/>
      <c r="L150" s="131"/>
      <c r="M150" s="131"/>
      <c r="N150" s="131"/>
      <c r="O150" s="131"/>
    </row>
    <row r="151" spans="1:16">
      <c r="D151" s="131"/>
      <c r="E151" s="131"/>
      <c r="F151" s="131"/>
      <c r="G151" s="131"/>
      <c r="H151" s="131"/>
      <c r="I151" s="131"/>
      <c r="J151" s="131"/>
      <c r="K151" s="131"/>
      <c r="L151" s="131"/>
      <c r="M151" s="131"/>
      <c r="N151" s="131"/>
      <c r="O151" s="131"/>
    </row>
  </sheetData>
  <mergeCells count="1">
    <mergeCell ref="A6:A7"/>
  </mergeCells>
  <printOptions horizontalCentered="1"/>
  <pageMargins left="0.7" right="0.55000000000000004" top="0.81" bottom="0.47" header="0.39" footer="0.3"/>
  <pageSetup scale="67" firstPageNumber="10" fitToHeight="3" orientation="landscape" useFirstPageNumber="1" r:id="rId1"/>
  <headerFooter scaleWithDoc="0">
    <oddHeader>&amp;C&amp;8Avista Corporation Fixed Cost Adjustment Mechanism
Idaho Jurisdiction
Quarterly Report for 2nd Quarter 2019</oddHeader>
    <oddFooter>&amp;C&amp;F / &amp;A&amp;RPage &amp;P of 12</oddFooter>
  </headerFooter>
  <rowBreaks count="2" manualBreakCount="2">
    <brk id="53" max="19" man="1"/>
    <brk id="99"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Electric Deferral</vt:lpstr>
      <vt:lpstr>Natural Gas Deferral</vt:lpstr>
      <vt:lpstr>Natural Gas by Schedule</vt:lpstr>
      <vt:lpstr>Accounting Balances</vt:lpstr>
      <vt:lpstr>Notes</vt:lpstr>
      <vt:lpstr>Electric by Schedule</vt:lpstr>
      <vt:lpstr>'Accounting Balances'!Print_Area</vt:lpstr>
      <vt:lpstr>'Electric by Schedule'!Print_Area</vt:lpstr>
      <vt:lpstr>'Electric Deferral'!Print_Area</vt:lpstr>
      <vt:lpstr>'Natural Gas Deferral'!Print_Area</vt:lpstr>
      <vt:lpstr>Notes!Print_Area</vt:lpstr>
      <vt:lpstr>'Electric by Schedule'!Print_Titles</vt:lpstr>
      <vt:lpstr>'Electric Deferral'!Print_Titles</vt:lpstr>
      <vt:lpstr>'Natural Gas by Schedule'!Print_Titles</vt:lpstr>
      <vt:lpstr>'Natural Gas Deferral'!Print_Titles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2019-08-07T22:26:26Z</dcterms:modified>
</cp:coreProperties>
</file>